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6075323\OneDrive - Clarivate Analytics\Desktop\-ing\KERIS\"/>
    </mc:Choice>
  </mc:AlternateContent>
  <xr:revisionPtr revIDLastSave="0" documentId="13_ncr:1_{9D062631-E81A-4A3B-BDE2-8DBB7088CC72}" xr6:coauthVersionLast="47" xr6:coauthVersionMax="47" xr10:uidLastSave="{00000000-0000-0000-0000-000000000000}"/>
  <bookViews>
    <workbookView xWindow="-120" yWindow="-120" windowWidth="29040" windowHeight="15720" xr2:uid="{9072BB0D-AB0F-4DF6-8AE0-8F4FF2487D79}"/>
  </bookViews>
  <sheets>
    <sheet name="PRC" sheetId="1" r:id="rId1"/>
  </sheets>
  <definedNames>
    <definedName name="_xlnm._FilterDatabase" localSheetId="0" hidden="1">PRC!$A$1:$AN$1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72" i="1" l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<sst xmlns="http://schemas.openxmlformats.org/spreadsheetml/2006/main" count="9969" uniqueCount="2803">
  <si>
    <t>no</t>
    <phoneticPr fontId="1" type="noConversion"/>
  </si>
  <si>
    <t>Licence
(구독 품목명)</t>
    <phoneticPr fontId="1" type="noConversion"/>
  </si>
  <si>
    <t>Database</t>
    <phoneticPr fontId="1" type="noConversion"/>
  </si>
  <si>
    <t>Source Type</t>
    <phoneticPr fontId="1" type="noConversion"/>
  </si>
  <si>
    <t>P-ISSN</t>
    <phoneticPr fontId="1" type="noConversion"/>
  </si>
  <si>
    <t>E-ISSN</t>
    <phoneticPr fontId="1" type="noConversion"/>
  </si>
  <si>
    <t>ISBN</t>
    <phoneticPr fontId="1" type="noConversion"/>
  </si>
  <si>
    <t>Title</t>
    <phoneticPr fontId="1" type="noConversion"/>
  </si>
  <si>
    <t>Full Text End Year</t>
    <phoneticPr fontId="1" type="noConversion"/>
  </si>
  <si>
    <t>Publisher</t>
    <phoneticPr fontId="1" type="noConversion"/>
  </si>
  <si>
    <t>창간호부터 현재까지 
원문제공여부</t>
    <phoneticPr fontId="2" type="noConversion"/>
  </si>
  <si>
    <t>Active
(상태)</t>
    <phoneticPr fontId="0" type="noConversion"/>
  </si>
  <si>
    <t>SCIE</t>
    <phoneticPr fontId="1" type="noConversion"/>
  </si>
  <si>
    <t>SSCI</t>
  </si>
  <si>
    <t>A&amp;HCI</t>
  </si>
  <si>
    <t>ESCI</t>
    <phoneticPr fontId="1" type="noConversion"/>
  </si>
  <si>
    <t>Scopus</t>
    <phoneticPr fontId="1" type="noConversion"/>
  </si>
  <si>
    <t>KCI</t>
    <phoneticPr fontId="1" type="noConversion"/>
  </si>
  <si>
    <t>KCI
등재후보</t>
    <phoneticPr fontId="1" type="noConversion"/>
  </si>
  <si>
    <t>OpenAccess
(DOAJ)</t>
  </si>
  <si>
    <t xml:space="preserve">Impact Factor </t>
    <phoneticPr fontId="1" type="noConversion"/>
  </si>
  <si>
    <t>Country</t>
    <phoneticPr fontId="1" type="noConversion"/>
  </si>
  <si>
    <t>Language</t>
    <phoneticPr fontId="1" type="noConversion"/>
  </si>
  <si>
    <t>DDC</t>
    <phoneticPr fontId="1" type="noConversion"/>
  </si>
  <si>
    <t>Subject</t>
    <phoneticPr fontId="1" type="noConversion"/>
  </si>
  <si>
    <t>URL</t>
    <phoneticPr fontId="1" type="noConversion"/>
  </si>
  <si>
    <t>e-ListPrice</t>
    <phoneticPr fontId="1" type="noConversion"/>
  </si>
  <si>
    <t>p-ListPrice</t>
    <phoneticPr fontId="1" type="noConversion"/>
  </si>
  <si>
    <t>원문 
다운건수</t>
    <phoneticPr fontId="1" type="noConversion"/>
  </si>
  <si>
    <t>non-OA 
원문 다운건수</t>
    <phoneticPr fontId="1" type="noConversion"/>
  </si>
  <si>
    <t>원문제공 건수</t>
    <phoneticPr fontId="1" type="noConversion"/>
  </si>
  <si>
    <t>non-OA
원문제공 건수</t>
    <phoneticPr fontId="1" type="noConversion"/>
  </si>
  <si>
    <t>구독옵션명
ex) Full</t>
    <phoneticPr fontId="1" type="noConversion"/>
  </si>
  <si>
    <t>신규타이틀
여부</t>
    <phoneticPr fontId="1" type="noConversion"/>
  </si>
  <si>
    <t xml:space="preserve">홀딩 기관 수 </t>
    <phoneticPr fontId="1" type="noConversion"/>
  </si>
  <si>
    <t>비고</t>
    <phoneticPr fontId="1" type="noConversion"/>
  </si>
  <si>
    <t>Embargo
(Months)</t>
    <phoneticPr fontId="1" type="noConversion"/>
  </si>
  <si>
    <t>Citation/ Abstract End Year</t>
    <phoneticPr fontId="1" type="noConversion"/>
  </si>
  <si>
    <t>ProQuest eBook Reference Collection</t>
  </si>
  <si>
    <t>https://ebookcentral.proquest.com/lib/keris/detail.action?docID=179196</t>
  </si>
  <si>
    <t>https://ebookcentral.proquest.com/lib/keris/detail.action?docID=200868</t>
  </si>
  <si>
    <t>https://ebookcentral.proquest.com/lib/keris/detail.action?docID=214153</t>
  </si>
  <si>
    <t>https://ebookcentral.proquest.com/lib/keris/detail.action?docID=221097</t>
  </si>
  <si>
    <t>https://ebookcentral.proquest.com/lib/keris/detail.action?docID=228305</t>
  </si>
  <si>
    <t>https://ebookcentral.proquest.com/lib/keris/detail.action?docID=233005</t>
  </si>
  <si>
    <t>https://ebookcentral.proquest.com/lib/keris/detail.action?docID=239820</t>
  </si>
  <si>
    <t>https://ebookcentral.proquest.com/lib/keris/detail.action?docID=244010</t>
  </si>
  <si>
    <t>https://ebookcentral.proquest.com/lib/keris/detail.action?docID=244078</t>
  </si>
  <si>
    <t>https://ebookcentral.proquest.com/lib/keris/detail.action?docID=254986</t>
  </si>
  <si>
    <t>https://ebookcentral.proquest.com/lib/keris/detail.action?docID=256635</t>
  </si>
  <si>
    <t>https://ebookcentral.proquest.com/lib/keris/detail.action?docID=256877</t>
  </si>
  <si>
    <t>https://ebookcentral.proquest.com/lib/keris/detail.action?docID=258492</t>
  </si>
  <si>
    <t>https://ebookcentral.proquest.com/lib/keris/detail.action?docID=263119</t>
  </si>
  <si>
    <t>https://ebookcentral.proquest.com/lib/keris/detail.action?docID=269808</t>
  </si>
  <si>
    <t>https://ebookcentral.proquest.com/lib/keris/detail.action?docID=274870</t>
  </si>
  <si>
    <t>https://ebookcentral.proquest.com/lib/keris/detail.action?docID=284088</t>
  </si>
  <si>
    <t>https://ebookcentral.proquest.com/lib/keris/detail.action?docID=284117</t>
  </si>
  <si>
    <t>https://ebookcentral.proquest.com/lib/keris/detail.action?docID=284206</t>
  </si>
  <si>
    <t>https://ebookcentral.proquest.com/lib/keris/detail.action?docID=288613</t>
  </si>
  <si>
    <t>https://ebookcentral.proquest.com/lib/keris/detail.action?docID=288664</t>
  </si>
  <si>
    <t>https://ebookcentral.proquest.com/lib/keris/detail.action?docID=288665</t>
  </si>
  <si>
    <t>https://ebookcentral.proquest.com/lib/keris/detail.action?docID=288666</t>
  </si>
  <si>
    <t>https://ebookcentral.proquest.com/lib/keris/detail.action?docID=288667</t>
  </si>
  <si>
    <t>https://ebookcentral.proquest.com/lib/keris/detail.action?docID=288668</t>
  </si>
  <si>
    <t>https://ebookcentral.proquest.com/lib/keris/detail.action?docID=288669</t>
  </si>
  <si>
    <t>https://ebookcentral.proquest.com/lib/keris/detail.action?docID=288670</t>
  </si>
  <si>
    <t>https://ebookcentral.proquest.com/lib/keris/detail.action?docID=288671</t>
  </si>
  <si>
    <t>https://ebookcentral.proquest.com/lib/keris/detail.action?docID=288672</t>
  </si>
  <si>
    <t>https://ebookcentral.proquest.com/lib/keris/detail.action?docID=288673</t>
  </si>
  <si>
    <t>https://ebookcentral.proquest.com/lib/keris/detail.action?docID=293094</t>
  </si>
  <si>
    <t>https://ebookcentral.proquest.com/lib/keris/detail.action?docID=293114</t>
  </si>
  <si>
    <t>https://ebookcentral.proquest.com/lib/keris/detail.action?docID=293711</t>
  </si>
  <si>
    <t>https://ebookcentral.proquest.com/lib/keris/detail.action?docID=295703</t>
  </si>
  <si>
    <t>https://ebookcentral.proquest.com/lib/keris/detail.action?docID=311221</t>
  </si>
  <si>
    <t>https://ebookcentral.proquest.com/lib/keris/detail.action?docID=311243</t>
  </si>
  <si>
    <t>https://ebookcentral.proquest.com/lib/keris/detail.action?docID=311272</t>
  </si>
  <si>
    <t>https://ebookcentral.proquest.com/lib/keris/detail.action?docID=320054</t>
  </si>
  <si>
    <t>https://ebookcentral.proquest.com/lib/keris/detail.action?docID=320058</t>
  </si>
  <si>
    <t>https://ebookcentral.proquest.com/lib/keris/detail.action?docID=321093</t>
  </si>
  <si>
    <t>https://ebookcentral.proquest.com/lib/keris/detail.action?docID=321206</t>
  </si>
  <si>
    <t>https://ebookcentral.proquest.com/lib/keris/detail.action?docID=321303</t>
  </si>
  <si>
    <t>https://ebookcentral.proquest.com/lib/keris/detail.action?docID=321438</t>
  </si>
  <si>
    <t>https://ebookcentral.proquest.com/lib/keris/detail.action?docID=328888</t>
  </si>
  <si>
    <t>https://ebookcentral.proquest.com/lib/keris/detail.action?docID=328891</t>
  </si>
  <si>
    <t>https://ebookcentral.proquest.com/lib/keris/detail.action?docID=334565</t>
  </si>
  <si>
    <t>https://ebookcentral.proquest.com/lib/keris/detail.action?docID=334587</t>
  </si>
  <si>
    <t>https://ebookcentral.proquest.com/lib/keris/detail.action?docID=334990</t>
  </si>
  <si>
    <t>https://ebookcentral.proquest.com/lib/keris/detail.action?docID=335096</t>
  </si>
  <si>
    <t>https://ebookcentral.proquest.com/lib/keris/detail.action?docID=336080</t>
  </si>
  <si>
    <t>https://ebookcentral.proquest.com/lib/keris/detail.action?docID=336085</t>
  </si>
  <si>
    <t>https://ebookcentral.proquest.com/lib/keris/detail.action?docID=336086</t>
  </si>
  <si>
    <t>https://ebookcentral.proquest.com/lib/keris/detail.action?docID=336089</t>
  </si>
  <si>
    <t>https://ebookcentral.proquest.com/lib/keris/detail.action?docID=343497</t>
  </si>
  <si>
    <t>https://ebookcentral.proquest.com/lib/keris/detail.action?docID=347170</t>
  </si>
  <si>
    <t>https://ebookcentral.proquest.com/lib/keris/detail.action?docID=347204</t>
  </si>
  <si>
    <t>https://ebookcentral.proquest.com/lib/keris/detail.action?docID=350889</t>
  </si>
  <si>
    <t>https://ebookcentral.proquest.com/lib/keris/detail.action?docID=352967</t>
  </si>
  <si>
    <t>https://ebookcentral.proquest.com/lib/keris/detail.action?docID=355433</t>
  </si>
  <si>
    <t>https://ebookcentral.proquest.com/lib/keris/detail.action?docID=355435</t>
  </si>
  <si>
    <t>https://ebookcentral.proquest.com/lib/keris/detail.action?docID=358848</t>
  </si>
  <si>
    <t>https://ebookcentral.proquest.com/lib/keris/detail.action?docID=358855</t>
  </si>
  <si>
    <t>https://ebookcentral.proquest.com/lib/keris/detail.action?docID=358856</t>
  </si>
  <si>
    <t>https://ebookcentral.proquest.com/lib/keris/detail.action?docID=358859</t>
  </si>
  <si>
    <t>https://ebookcentral.proquest.com/lib/keris/detail.action?docID=358860</t>
  </si>
  <si>
    <t>https://ebookcentral.proquest.com/lib/keris/detail.action?docID=358861</t>
  </si>
  <si>
    <t>https://ebookcentral.proquest.com/lib/keris/detail.action?docID=358863</t>
  </si>
  <si>
    <t>https://ebookcentral.proquest.com/lib/keris/detail.action?docID=359371</t>
  </si>
  <si>
    <t>https://ebookcentral.proquest.com/lib/keris/detail.action?docID=361918</t>
  </si>
  <si>
    <t>https://ebookcentral.proquest.com/lib/keris/detail.action?docID=362155</t>
  </si>
  <si>
    <t>https://ebookcentral.proquest.com/lib/keris/detail.action?docID=367053</t>
  </si>
  <si>
    <t>https://ebookcentral.proquest.com/lib/keris/detail.action?docID=410136</t>
  </si>
  <si>
    <t>https://ebookcentral.proquest.com/lib/keris/detail.action?docID=410173</t>
  </si>
  <si>
    <t>https://ebookcentral.proquest.com/lib/keris/detail.action?docID=412741</t>
  </si>
  <si>
    <t>https://ebookcentral.proquest.com/lib/keris/detail.action?docID=412801</t>
  </si>
  <si>
    <t>https://ebookcentral.proquest.com/lib/keris/detail.action?docID=412806</t>
  </si>
  <si>
    <t>https://ebookcentral.proquest.com/lib/keris/detail.action?docID=416345</t>
  </si>
  <si>
    <t>https://ebookcentral.proquest.com/lib/keris/detail.action?docID=416514</t>
  </si>
  <si>
    <t>https://ebookcentral.proquest.com/lib/keris/detail.action?docID=416539</t>
  </si>
  <si>
    <t>https://ebookcentral.proquest.com/lib/keris/detail.action?docID=424560</t>
  </si>
  <si>
    <t>https://ebookcentral.proquest.com/lib/keris/detail.action?docID=424562</t>
  </si>
  <si>
    <t>https://ebookcentral.proquest.com/lib/keris/detail.action?docID=424597</t>
  </si>
  <si>
    <t>https://ebookcentral.proquest.com/lib/keris/detail.action?docID=424602</t>
  </si>
  <si>
    <t>https://ebookcentral.proquest.com/lib/keris/detail.action?docID=424605</t>
  </si>
  <si>
    <t>https://ebookcentral.proquest.com/lib/keris/detail.action?docID=427674</t>
  </si>
  <si>
    <t>https://ebookcentral.proquest.com/lib/keris/detail.action?docID=427885</t>
  </si>
  <si>
    <t>https://ebookcentral.proquest.com/lib/keris/detail.action?docID=428019</t>
  </si>
  <si>
    <t>https://ebookcentral.proquest.com/lib/keris/detail.action?docID=428123</t>
  </si>
  <si>
    <t>https://ebookcentral.proquest.com/lib/keris/detail.action?docID=428164</t>
  </si>
  <si>
    <t>https://ebookcentral.proquest.com/lib/keris/detail.action?docID=432010</t>
  </si>
  <si>
    <t>https://ebookcentral.proquest.com/lib/keris/detail.action?docID=432031</t>
  </si>
  <si>
    <t>https://ebookcentral.proquest.com/lib/keris/detail.action?docID=432062</t>
  </si>
  <si>
    <t>https://ebookcentral.proquest.com/lib/keris/detail.action?docID=433023</t>
  </si>
  <si>
    <t>https://ebookcentral.proquest.com/lib/keris/detail.action?docID=433814</t>
  </si>
  <si>
    <t>https://ebookcentral.proquest.com/lib/keris/detail.action?docID=433825</t>
  </si>
  <si>
    <t>https://ebookcentral.proquest.com/lib/keris/detail.action?docID=435138</t>
  </si>
  <si>
    <t>https://ebookcentral.proquest.com/lib/keris/detail.action?docID=437482</t>
  </si>
  <si>
    <t>https://ebookcentral.proquest.com/lib/keris/detail.action?docID=437521</t>
  </si>
  <si>
    <t>https://ebookcentral.proquest.com/lib/keris/detail.action?docID=437527</t>
  </si>
  <si>
    <t>https://ebookcentral.proquest.com/lib/keris/detail.action?docID=442890</t>
  </si>
  <si>
    <t>https://ebookcentral.proquest.com/lib/keris/detail.action?docID=448457</t>
  </si>
  <si>
    <t>https://ebookcentral.proquest.com/lib/keris/detail.action?docID=448877</t>
  </si>
  <si>
    <t>https://ebookcentral.proquest.com/lib/keris/detail.action?docID=448906</t>
  </si>
  <si>
    <t>https://ebookcentral.proquest.com/lib/keris/detail.action?docID=448938</t>
  </si>
  <si>
    <t>https://ebookcentral.proquest.com/lib/keris/detail.action?docID=451903</t>
  </si>
  <si>
    <t>https://ebookcentral.proquest.com/lib/keris/detail.action?docID=451924</t>
  </si>
  <si>
    <t>https://ebookcentral.proquest.com/lib/keris/detail.action?docID=451939</t>
  </si>
  <si>
    <t>https://ebookcentral.proquest.com/lib/keris/detail.action?docID=454326</t>
  </si>
  <si>
    <t>https://ebookcentral.proquest.com/lib/keris/detail.action?docID=454334</t>
  </si>
  <si>
    <t>https://ebookcentral.proquest.com/lib/keris/detail.action?docID=454389</t>
  </si>
  <si>
    <t>https://ebookcentral.proquest.com/lib/keris/detail.action?docID=455881</t>
  </si>
  <si>
    <t>https://ebookcentral.proquest.com/lib/keris/detail.action?docID=456050</t>
  </si>
  <si>
    <t>https://ebookcentral.proquest.com/lib/keris/detail.action?docID=461152</t>
  </si>
  <si>
    <t>https://ebookcentral.proquest.com/lib/keris/detail.action?docID=464854</t>
  </si>
  <si>
    <t>https://ebookcentral.proquest.com/lib/keris/detail.action?docID=464857</t>
  </si>
  <si>
    <t>https://ebookcentral.proquest.com/lib/keris/detail.action?docID=464894</t>
  </si>
  <si>
    <t>https://ebookcentral.proquest.com/lib/keris/detail.action?docID=464897</t>
  </si>
  <si>
    <t>https://ebookcentral.proquest.com/lib/keris/detail.action?docID=465086</t>
  </si>
  <si>
    <t>https://ebookcentral.proquest.com/lib/keris/detail.action?docID=467559</t>
  </si>
  <si>
    <t>https://ebookcentral.proquest.com/lib/keris/detail.action?docID=467612</t>
  </si>
  <si>
    <t>https://ebookcentral.proquest.com/lib/keris/detail.action?docID=467675</t>
  </si>
  <si>
    <t>https://ebookcentral.proquest.com/lib/keris/detail.action?docID=467882</t>
  </si>
  <si>
    <t>https://ebookcentral.proquest.com/lib/keris/detail.action?docID=468490</t>
  </si>
  <si>
    <t>https://ebookcentral.proquest.com/lib/keris/detail.action?docID=468608</t>
  </si>
  <si>
    <t>https://ebookcentral.proquest.com/lib/keris/detail.action?docID=468768</t>
  </si>
  <si>
    <t>https://ebookcentral.proquest.com/lib/keris/detail.action?docID=469266</t>
  </si>
  <si>
    <t>https://ebookcentral.proquest.com/lib/keris/detail.action?docID=469605</t>
  </si>
  <si>
    <t>https://ebookcentral.proquest.com/lib/keris/detail.action?docID=470111</t>
  </si>
  <si>
    <t>https://ebookcentral.proquest.com/lib/keris/detail.action?docID=470171</t>
  </si>
  <si>
    <t>https://ebookcentral.proquest.com/lib/keris/detail.action?docID=470451</t>
  </si>
  <si>
    <t>https://ebookcentral.proquest.com/lib/keris/detail.action?docID=471786</t>
  </si>
  <si>
    <t>https://ebookcentral.proquest.com/lib/keris/detail.action?docID=471976</t>
  </si>
  <si>
    <t>https://ebookcentral.proquest.com/lib/keris/detail.action?docID=471981</t>
  </si>
  <si>
    <t>https://ebookcentral.proquest.com/lib/keris/detail.action?docID=474853</t>
  </si>
  <si>
    <t>https://ebookcentral.proquest.com/lib/keris/detail.action?docID=477852</t>
  </si>
  <si>
    <t>https://ebookcentral.proquest.com/lib/keris/detail.action?docID=477882</t>
  </si>
  <si>
    <t>https://ebookcentral.proquest.com/lib/keris/detail.action?docID=480428</t>
  </si>
  <si>
    <t>https://ebookcentral.proquest.com/lib/keris/detail.action?docID=480446</t>
  </si>
  <si>
    <t>https://ebookcentral.proquest.com/lib/keris/detail.action?docID=480452</t>
  </si>
  <si>
    <t>https://ebookcentral.proquest.com/lib/keris/detail.action?docID=480455</t>
  </si>
  <si>
    <t>https://ebookcentral.proquest.com/lib/keris/detail.action?docID=480460</t>
  </si>
  <si>
    <t>https://ebookcentral.proquest.com/lib/keris/detail.action?docID=480482</t>
  </si>
  <si>
    <t>https://ebookcentral.proquest.com/lib/keris/detail.action?docID=483306</t>
  </si>
  <si>
    <t>https://ebookcentral.proquest.com/lib/keris/detail.action?docID=485195</t>
  </si>
  <si>
    <t>https://ebookcentral.proquest.com/lib/keris/detail.action?docID=485290</t>
  </si>
  <si>
    <t>https://ebookcentral.proquest.com/lib/keris/detail.action?docID=485668</t>
  </si>
  <si>
    <t>https://ebookcentral.proquest.com/lib/keris/detail.action?docID=485674</t>
  </si>
  <si>
    <t>https://ebookcentral.proquest.com/lib/keris/detail.action?docID=487665</t>
  </si>
  <si>
    <t>https://ebookcentral.proquest.com/lib/keris/detail.action?docID=487727</t>
  </si>
  <si>
    <t>https://ebookcentral.proquest.com/lib/keris/detail.action?docID=487736</t>
  </si>
  <si>
    <t>https://ebookcentral.proquest.com/lib/keris/detail.action?docID=487738</t>
  </si>
  <si>
    <t>https://ebookcentral.proquest.com/lib/keris/detail.action?docID=487740</t>
  </si>
  <si>
    <t>https://ebookcentral.proquest.com/lib/keris/detail.action?docID=492612</t>
  </si>
  <si>
    <t>https://ebookcentral.proquest.com/lib/keris/detail.action?docID=492613</t>
  </si>
  <si>
    <t>https://ebookcentral.proquest.com/lib/keris/detail.action?docID=495971</t>
  </si>
  <si>
    <t>https://ebookcentral.proquest.com/lib/keris/detail.action?docID=496012</t>
  </si>
  <si>
    <t>https://ebookcentral.proquest.com/lib/keris/detail.action?docID=496057</t>
  </si>
  <si>
    <t>https://ebookcentral.proquest.com/lib/keris/detail.action?docID=496064</t>
  </si>
  <si>
    <t>https://ebookcentral.proquest.com/lib/keris/detail.action?docID=496079</t>
  </si>
  <si>
    <t>https://ebookcentral.proquest.com/lib/keris/detail.action?docID=501313</t>
  </si>
  <si>
    <t>https://ebookcentral.proquest.com/lib/keris/detail.action?docID=502458</t>
  </si>
  <si>
    <t>https://ebookcentral.proquest.com/lib/keris/detail.action?docID=502493</t>
  </si>
  <si>
    <t>https://ebookcentral.proquest.com/lib/keris/detail.action?docID=502533</t>
  </si>
  <si>
    <t>https://ebookcentral.proquest.com/lib/keris/detail.action?docID=510243</t>
  </si>
  <si>
    <t>https://ebookcentral.proquest.com/lib/keris/detail.action?docID=510251</t>
  </si>
  <si>
    <t>https://ebookcentral.proquest.com/lib/keris/detail.action?docID=514326</t>
  </si>
  <si>
    <t>https://ebookcentral.proquest.com/lib/keris/detail.action?docID=514382</t>
  </si>
  <si>
    <t>https://ebookcentral.proquest.com/lib/keris/detail.action?docID=514449</t>
  </si>
  <si>
    <t>https://ebookcentral.proquest.com/lib/keris/detail.action?docID=514458</t>
  </si>
  <si>
    <t>https://ebookcentral.proquest.com/lib/keris/detail.action?docID=515872</t>
  </si>
  <si>
    <t>https://ebookcentral.proquest.com/lib/keris/detail.action?docID=516946</t>
  </si>
  <si>
    <t>https://ebookcentral.proquest.com/lib/keris/detail.action?docID=516965</t>
  </si>
  <si>
    <t>https://ebookcentral.proquest.com/lib/keris/detail.action?docID=529946</t>
  </si>
  <si>
    <t>https://ebookcentral.proquest.com/lib/keris/detail.action?docID=529959</t>
  </si>
  <si>
    <t>https://ebookcentral.proquest.com/lib/keris/detail.action?docID=530074</t>
  </si>
  <si>
    <t>https://ebookcentral.proquest.com/lib/keris/detail.action?docID=533954</t>
  </si>
  <si>
    <t>https://ebookcentral.proquest.com/lib/keris/detail.action?docID=534716</t>
  </si>
  <si>
    <t>https://ebookcentral.proquest.com/lib/keris/detail.action?docID=534750</t>
  </si>
  <si>
    <t>https://ebookcentral.proquest.com/lib/keris/detail.action?docID=534756</t>
  </si>
  <si>
    <t>https://ebookcentral.proquest.com/lib/keris/detail.action?docID=535445</t>
  </si>
  <si>
    <t>https://ebookcentral.proquest.com/lib/keris/detail.action?docID=537279</t>
  </si>
  <si>
    <t>https://ebookcentral.proquest.com/lib/keris/detail.action?docID=537566</t>
  </si>
  <si>
    <t>https://ebookcentral.proquest.com/lib/keris/detail.action?docID=540083</t>
  </si>
  <si>
    <t>https://ebookcentral.proquest.com/lib/keris/detail.action?docID=542759</t>
  </si>
  <si>
    <t>https://ebookcentral.proquest.com/lib/keris/detail.action?docID=542826</t>
  </si>
  <si>
    <t>https://ebookcentral.proquest.com/lib/keris/detail.action?docID=542863</t>
  </si>
  <si>
    <t>https://ebookcentral.proquest.com/lib/keris/detail.action?docID=542870</t>
  </si>
  <si>
    <t>https://ebookcentral.proquest.com/lib/keris/detail.action?docID=547047</t>
  </si>
  <si>
    <t>https://ebookcentral.proquest.com/lib/keris/detail.action?docID=554978</t>
  </si>
  <si>
    <t>https://ebookcentral.proquest.com/lib/keris/detail.action?docID=555320</t>
  </si>
  <si>
    <t>https://ebookcentral.proquest.com/lib/keris/detail.action?docID=555546</t>
  </si>
  <si>
    <t>https://ebookcentral.proquest.com/lib/keris/detail.action?docID=557015</t>
  </si>
  <si>
    <t>https://ebookcentral.proquest.com/lib/keris/detail.action?docID=564462</t>
  </si>
  <si>
    <t>https://ebookcentral.proquest.com/lib/keris/detail.action?docID=564466</t>
  </si>
  <si>
    <t>https://ebookcentral.proquest.com/lib/keris/detail.action?docID=564967</t>
  </si>
  <si>
    <t>https://ebookcentral.proquest.com/lib/keris/detail.action?docID=564968</t>
  </si>
  <si>
    <t>https://ebookcentral.proquest.com/lib/keris/detail.action?docID=565143</t>
  </si>
  <si>
    <t>https://ebookcentral.proquest.com/lib/keris/detail.action?docID=565364</t>
  </si>
  <si>
    <t>https://ebookcentral.proquest.com/lib/keris/detail.action?docID=570418</t>
  </si>
  <si>
    <t>https://ebookcentral.proquest.com/lib/keris/detail.action?docID=578795</t>
  </si>
  <si>
    <t>https://ebookcentral.proquest.com/lib/keris/detail.action?docID=585321</t>
  </si>
  <si>
    <t>https://ebookcentral.proquest.com/lib/keris/detail.action?docID=585347</t>
  </si>
  <si>
    <t>https://ebookcentral.proquest.com/lib/keris/detail.action?docID=585367</t>
  </si>
  <si>
    <t>https://ebookcentral.proquest.com/lib/keris/detail.action?docID=585372</t>
  </si>
  <si>
    <t>https://ebookcentral.proquest.com/lib/keris/detail.action?docID=585375</t>
  </si>
  <si>
    <t>https://ebookcentral.proquest.com/lib/keris/detail.action?docID=585387</t>
  </si>
  <si>
    <t>https://ebookcentral.proquest.com/lib/keris/detail.action?docID=588895</t>
  </si>
  <si>
    <t>https://ebookcentral.proquest.com/lib/keris/detail.action?docID=602186</t>
  </si>
  <si>
    <t>https://ebookcentral.proquest.com/lib/keris/detail.action?docID=605009</t>
  </si>
  <si>
    <t>https://ebookcentral.proquest.com/lib/keris/detail.action?docID=605025</t>
  </si>
  <si>
    <t>https://ebookcentral.proquest.com/lib/keris/detail.action?docID=605051</t>
  </si>
  <si>
    <t>https://ebookcentral.proquest.com/lib/keris/detail.action?docID=605059</t>
  </si>
  <si>
    <t>https://ebookcentral.proquest.com/lib/keris/detail.action?docID=605339</t>
  </si>
  <si>
    <t>https://ebookcentral.proquest.com/lib/keris/detail.action?docID=605886</t>
  </si>
  <si>
    <t>https://ebookcentral.proquest.com/lib/keris/detail.action?docID=615761</t>
  </si>
  <si>
    <t>https://ebookcentral.proquest.com/lib/keris/detail.action?docID=615764</t>
  </si>
  <si>
    <t>https://ebookcentral.proquest.com/lib/keris/detail.action?docID=624285</t>
  </si>
  <si>
    <t>https://ebookcentral.proquest.com/lib/keris/detail.action?docID=624292</t>
  </si>
  <si>
    <t>https://ebookcentral.proquest.com/lib/keris/detail.action?docID=624304</t>
  </si>
  <si>
    <t>https://ebookcentral.proquest.com/lib/keris/detail.action?docID=624305</t>
  </si>
  <si>
    <t>https://ebookcentral.proquest.com/lib/keris/detail.action?docID=624617</t>
  </si>
  <si>
    <t>https://ebookcentral.proquest.com/lib/keris/detail.action?docID=624647</t>
  </si>
  <si>
    <t>https://ebookcentral.proquest.com/lib/keris/detail.action?docID=624726</t>
  </si>
  <si>
    <t>https://ebookcentral.proquest.com/lib/keris/detail.action?docID=624730</t>
  </si>
  <si>
    <t>https://ebookcentral.proquest.com/lib/keris/detail.action?docID=624771</t>
  </si>
  <si>
    <t>https://ebookcentral.proquest.com/lib/keris/detail.action?docID=634602</t>
  </si>
  <si>
    <t>https://ebookcentral.proquest.com/lib/keris/detail.action?docID=634607</t>
  </si>
  <si>
    <t>https://ebookcentral.proquest.com/lib/keris/detail.action?docID=635132</t>
  </si>
  <si>
    <t>https://ebookcentral.proquest.com/lib/keris/detail.action?docID=644974</t>
  </si>
  <si>
    <t>https://ebookcentral.proquest.com/lib/keris/detail.action?docID=644988</t>
  </si>
  <si>
    <t>https://ebookcentral.proquest.com/lib/keris/detail.action?docID=647399</t>
  </si>
  <si>
    <t>https://ebookcentral.proquest.com/lib/keris/detail.action?docID=661481</t>
  </si>
  <si>
    <t>https://ebookcentral.proquest.com/lib/keris/detail.action?docID=661568</t>
  </si>
  <si>
    <t>https://ebookcentral.proquest.com/lib/keris/detail.action?docID=661610</t>
  </si>
  <si>
    <t>https://ebookcentral.proquest.com/lib/keris/detail.action?docID=661758</t>
  </si>
  <si>
    <t>https://ebookcentral.proquest.com/lib/keris/detail.action?docID=661767</t>
  </si>
  <si>
    <t>https://ebookcentral.proquest.com/lib/keris/detail.action?docID=661774</t>
  </si>
  <si>
    <t>https://ebookcentral.proquest.com/lib/keris/detail.action?docID=665222</t>
  </si>
  <si>
    <t>https://ebookcentral.proquest.com/lib/keris/detail.action?docID=665230</t>
  </si>
  <si>
    <t>https://ebookcentral.proquest.com/lib/keris/detail.action?docID=665243</t>
  </si>
  <si>
    <t>https://ebookcentral.proquest.com/lib/keris/detail.action?docID=665412</t>
  </si>
  <si>
    <t>https://ebookcentral.proquest.com/lib/keris/detail.action?docID=665444</t>
  </si>
  <si>
    <t>https://ebookcentral.proquest.com/lib/keris/detail.action?docID=667634</t>
  </si>
  <si>
    <t>https://ebookcentral.proquest.com/lib/keris/detail.action?docID=675171</t>
  </si>
  <si>
    <t>https://ebookcentral.proquest.com/lib/keris/detail.action?docID=675172</t>
  </si>
  <si>
    <t>https://ebookcentral.proquest.com/lib/keris/detail.action?docID=675178</t>
  </si>
  <si>
    <t>https://ebookcentral.proquest.com/lib/keris/detail.action?docID=675180</t>
  </si>
  <si>
    <t>https://ebookcentral.proquest.com/lib/keris/detail.action?docID=675202</t>
  </si>
  <si>
    <t>https://ebookcentral.proquest.com/lib/keris/detail.action?docID=675233</t>
  </si>
  <si>
    <t>https://ebookcentral.proquest.com/lib/keris/detail.action?docID=675245</t>
  </si>
  <si>
    <t>https://ebookcentral.proquest.com/lib/keris/detail.action?docID=677214</t>
  </si>
  <si>
    <t>https://ebookcentral.proquest.com/lib/keris/detail.action?docID=679420</t>
  </si>
  <si>
    <t>https://ebookcentral.proquest.com/lib/keris/detail.action?docID=684624</t>
  </si>
  <si>
    <t>https://ebookcentral.proquest.com/lib/keris/detail.action?docID=687000</t>
  </si>
  <si>
    <t>https://ebookcentral.proquest.com/lib/keris/detail.action?docID=687001</t>
  </si>
  <si>
    <t>https://ebookcentral.proquest.com/lib/keris/detail.action?docID=687003</t>
  </si>
  <si>
    <t>https://ebookcentral.proquest.com/lib/keris/detail.action?docID=687014</t>
  </si>
  <si>
    <t>https://ebookcentral.proquest.com/lib/keris/detail.action?docID=687016</t>
  </si>
  <si>
    <t>https://ebookcentral.proquest.com/lib/keris/detail.action?docID=689304</t>
  </si>
  <si>
    <t>https://ebookcentral.proquest.com/lib/keris/detail.action?docID=689482</t>
  </si>
  <si>
    <t>https://ebookcentral.proquest.com/lib/keris/detail.action?docID=693784</t>
  </si>
  <si>
    <t>https://ebookcentral.proquest.com/lib/keris/detail.action?docID=693970</t>
  </si>
  <si>
    <t>https://ebookcentral.proquest.com/lib/keris/detail.action?docID=697575</t>
  </si>
  <si>
    <t>https://ebookcentral.proquest.com/lib/keris/detail.action?docID=697593</t>
  </si>
  <si>
    <t>https://ebookcentral.proquest.com/lib/keris/detail.action?docID=697761</t>
  </si>
  <si>
    <t>https://ebookcentral.proquest.com/lib/keris/detail.action?docID=697896</t>
  </si>
  <si>
    <t>https://ebookcentral.proquest.com/lib/keris/detail.action?docID=700583</t>
  </si>
  <si>
    <t>https://ebookcentral.proquest.com/lib/keris/detail.action?docID=700624</t>
  </si>
  <si>
    <t>https://ebookcentral.proquest.com/lib/keris/detail.action?docID=706571</t>
  </si>
  <si>
    <t>https://ebookcentral.proquest.com/lib/keris/detail.action?docID=706652</t>
  </si>
  <si>
    <t>https://ebookcentral.proquest.com/lib/keris/detail.action?docID=712125</t>
  </si>
  <si>
    <t>https://ebookcentral.proquest.com/lib/keris/detail.action?docID=716703</t>
  </si>
  <si>
    <t>https://ebookcentral.proquest.com/lib/keris/detail.action?docID=717457</t>
  </si>
  <si>
    <t>https://ebookcentral.proquest.com/lib/keris/detail.action?docID=717927</t>
  </si>
  <si>
    <t>https://ebookcentral.proquest.com/lib/keris/detail.action?docID=717937</t>
  </si>
  <si>
    <t>https://ebookcentral.proquest.com/lib/keris/detail.action?docID=728730</t>
  </si>
  <si>
    <t>https://ebookcentral.proquest.com/lib/keris/detail.action?docID=728731</t>
  </si>
  <si>
    <t>https://ebookcentral.proquest.com/lib/keris/detail.action?docID=728761</t>
  </si>
  <si>
    <t>https://ebookcentral.proquest.com/lib/keris/detail.action?docID=731202</t>
  </si>
  <si>
    <t>https://ebookcentral.proquest.com/lib/keris/detail.action?docID=735599</t>
  </si>
  <si>
    <t>https://ebookcentral.proquest.com/lib/keris/detail.action?docID=737309</t>
  </si>
  <si>
    <t>https://ebookcentral.proquest.com/lib/keris/detail.action?docID=737472</t>
  </si>
  <si>
    <t>https://ebookcentral.proquest.com/lib/keris/detail.action?docID=746668</t>
  </si>
  <si>
    <t>https://ebookcentral.proquest.com/lib/keris/detail.action?docID=746747</t>
  </si>
  <si>
    <t>https://ebookcentral.proquest.com/lib/keris/detail.action?docID=765158</t>
  </si>
  <si>
    <t>https://ebookcentral.proquest.com/lib/keris/detail.action?docID=765169</t>
  </si>
  <si>
    <t>https://ebookcentral.proquest.com/lib/keris/detail.action?docID=773282</t>
  </si>
  <si>
    <t>https://ebookcentral.proquest.com/lib/keris/detail.action?docID=775972</t>
  </si>
  <si>
    <t>https://ebookcentral.proquest.com/lib/keris/detail.action?docID=784713</t>
  </si>
  <si>
    <t>https://ebookcentral.proquest.com/lib/keris/detail.action?docID=792464</t>
  </si>
  <si>
    <t>https://ebookcentral.proquest.com/lib/keris/detail.action?docID=792629</t>
  </si>
  <si>
    <t>https://ebookcentral.proquest.com/lib/keris/detail.action?docID=792638</t>
  </si>
  <si>
    <t>https://ebookcentral.proquest.com/lib/keris/detail.action?docID=793721</t>
  </si>
  <si>
    <t>https://ebookcentral.proquest.com/lib/keris/detail.action?docID=795225</t>
  </si>
  <si>
    <t>https://ebookcentral.proquest.com/lib/keris/detail.action?docID=798363</t>
  </si>
  <si>
    <t>https://ebookcentral.proquest.com/lib/keris/detail.action?docID=799955</t>
  </si>
  <si>
    <t>https://ebookcentral.proquest.com/lib/keris/detail.action?docID=800716</t>
  </si>
  <si>
    <t>https://ebookcentral.proquest.com/lib/keris/detail.action?docID=800824</t>
  </si>
  <si>
    <t>https://ebookcentral.proquest.com/lib/keris/detail.action?docID=800833</t>
  </si>
  <si>
    <t>https://ebookcentral.proquest.com/lib/keris/detail.action?docID=817324</t>
  </si>
  <si>
    <t>https://ebookcentral.proquest.com/lib/keris/detail.action?docID=817357</t>
  </si>
  <si>
    <t>https://ebookcentral.proquest.com/lib/keris/detail.action?docID=817585</t>
  </si>
  <si>
    <t>https://ebookcentral.proquest.com/lib/keris/detail.action?docID=817586</t>
  </si>
  <si>
    <t>https://ebookcentral.proquest.com/lib/keris/detail.action?docID=817721</t>
  </si>
  <si>
    <t>https://ebookcentral.proquest.com/lib/keris/detail.action?docID=817869</t>
  </si>
  <si>
    <t>https://ebookcentral.proquest.com/lib/keris/detail.action?docID=819283</t>
  </si>
  <si>
    <t>https://ebookcentral.proquest.com/lib/keris/detail.action?docID=819341</t>
  </si>
  <si>
    <t>https://ebookcentral.proquest.com/lib/keris/detail.action?docID=819353</t>
  </si>
  <si>
    <t>https://ebookcentral.proquest.com/lib/keris/detail.action?docID=819360</t>
  </si>
  <si>
    <t>https://ebookcentral.proquest.com/lib/keris/detail.action?docID=819361</t>
  </si>
  <si>
    <t>https://ebookcentral.proquest.com/lib/keris/detail.action?docID=819370</t>
  </si>
  <si>
    <t>https://ebookcentral.proquest.com/lib/keris/detail.action?docID=819371</t>
  </si>
  <si>
    <t>https://ebookcentral.proquest.com/lib/keris/detail.action?docID=819372</t>
  </si>
  <si>
    <t>https://ebookcentral.proquest.com/lib/keris/detail.action?docID=819387</t>
  </si>
  <si>
    <t>https://ebookcentral.proquest.com/lib/keris/detail.action?docID=819470</t>
  </si>
  <si>
    <t>https://ebookcentral.proquest.com/lib/keris/detail.action?docID=819471</t>
  </si>
  <si>
    <t>https://ebookcentral.proquest.com/lib/keris/detail.action?docID=819472</t>
  </si>
  <si>
    <t>https://ebookcentral.proquest.com/lib/keris/detail.action?docID=819473</t>
  </si>
  <si>
    <t>https://ebookcentral.proquest.com/lib/keris/detail.action?docID=821673</t>
  </si>
  <si>
    <t>https://ebookcentral.proquest.com/lib/keris/detail.action?docID=821807</t>
  </si>
  <si>
    <t>https://ebookcentral.proquest.com/lib/keris/detail.action?docID=822419</t>
  </si>
  <si>
    <t>https://ebookcentral.proquest.com/lib/keris/detail.action?docID=822485</t>
  </si>
  <si>
    <t>https://ebookcentral.proquest.com/lib/keris/detail.action?docID=822649</t>
  </si>
  <si>
    <t>https://ebookcentral.proquest.com/lib/keris/detail.action?docID=822656</t>
  </si>
  <si>
    <t>https://ebookcentral.proquest.com/lib/keris/detail.action?docID=822663</t>
  </si>
  <si>
    <t>https://ebookcentral.proquest.com/lib/keris/detail.action?docID=829377</t>
  </si>
  <si>
    <t>https://ebookcentral.proquest.com/lib/keris/detail.action?docID=829381</t>
  </si>
  <si>
    <t>https://ebookcentral.proquest.com/lib/keris/detail.action?docID=829477</t>
  </si>
  <si>
    <t>https://ebookcentral.proquest.com/lib/keris/detail.action?docID=832569</t>
  </si>
  <si>
    <t>https://ebookcentral.proquest.com/lib/keris/detail.action?docID=832595</t>
  </si>
  <si>
    <t>https://ebookcentral.proquest.com/lib/keris/detail.action?docID=837605</t>
  </si>
  <si>
    <t>https://ebookcentral.proquest.com/lib/keris/detail.action?docID=845932</t>
  </si>
  <si>
    <t>https://ebookcentral.proquest.com/lib/keris/detail.action?docID=845958</t>
  </si>
  <si>
    <t>https://ebookcentral.proquest.com/lib/keris/detail.action?docID=845959</t>
  </si>
  <si>
    <t>https://ebookcentral.proquest.com/lib/keris/detail.action?docID=846152</t>
  </si>
  <si>
    <t>https://ebookcentral.proquest.com/lib/keris/detail.action?docID=846153</t>
  </si>
  <si>
    <t>https://ebookcentral.proquest.com/lib/keris/detail.action?docID=849023</t>
  </si>
  <si>
    <t>https://ebookcentral.proquest.com/lib/keris/detail.action?docID=865482</t>
  </si>
  <si>
    <t>https://ebookcentral.proquest.com/lib/keris/detail.action?docID=865547</t>
  </si>
  <si>
    <t>https://ebookcentral.proquest.com/lib/keris/detail.action?docID=865912</t>
  </si>
  <si>
    <t>https://ebookcentral.proquest.com/lib/keris/detail.action?docID=873315</t>
  </si>
  <si>
    <t>https://ebookcentral.proquest.com/lib/keris/detail.action?docID=875733</t>
  </si>
  <si>
    <t>https://ebookcentral.proquest.com/lib/keris/detail.action?docID=875781</t>
  </si>
  <si>
    <t>https://ebookcentral.proquest.com/lib/keris/detail.action?docID=875783</t>
  </si>
  <si>
    <t>https://ebookcentral.proquest.com/lib/keris/detail.action?docID=875809</t>
  </si>
  <si>
    <t>https://ebookcentral.proquest.com/lib/keris/detail.action?docID=881882</t>
  </si>
  <si>
    <t>https://ebookcentral.proquest.com/lib/keris/detail.action?docID=886456</t>
  </si>
  <si>
    <t>https://ebookcentral.proquest.com/lib/keris/detail.action?docID=886462</t>
  </si>
  <si>
    <t>https://ebookcentral.proquest.com/lib/keris/detail.action?docID=886532</t>
  </si>
  <si>
    <t>https://ebookcentral.proquest.com/lib/keris/detail.action?docID=886540</t>
  </si>
  <si>
    <t>https://ebookcentral.proquest.com/lib/keris/detail.action?docID=886568</t>
  </si>
  <si>
    <t>https://ebookcentral.proquest.com/lib/keris/detail.action?docID=886569</t>
  </si>
  <si>
    <t>https://ebookcentral.proquest.com/lib/keris/detail.action?docID=891222</t>
  </si>
  <si>
    <t>https://ebookcentral.proquest.com/lib/keris/detail.action?docID=893076</t>
  </si>
  <si>
    <t>https://ebookcentral.proquest.com/lib/keris/detail.action?docID=894270</t>
  </si>
  <si>
    <t>https://ebookcentral.proquest.com/lib/keris/detail.action?docID=894289</t>
  </si>
  <si>
    <t>https://ebookcentral.proquest.com/lib/keris/detail.action?docID=896984</t>
  </si>
  <si>
    <t>https://ebookcentral.proquest.com/lib/keris/detail.action?docID=902587</t>
  </si>
  <si>
    <t>https://ebookcentral.proquest.com/lib/keris/detail.action?docID=909001</t>
  </si>
  <si>
    <t>https://ebookcentral.proquest.com/lib/keris/detail.action?docID=912189</t>
  </si>
  <si>
    <t>https://ebookcentral.proquest.com/lib/keris/detail.action?docID=914752</t>
  </si>
  <si>
    <t>https://ebookcentral.proquest.com/lib/keris/detail.action?docID=918172</t>
  </si>
  <si>
    <t>https://ebookcentral.proquest.com/lib/keris/detail.action?docID=918174</t>
  </si>
  <si>
    <t>https://ebookcentral.proquest.com/lib/keris/detail.action?docID=918180</t>
  </si>
  <si>
    <t>https://ebookcentral.proquest.com/lib/keris/detail.action?docID=919560</t>
  </si>
  <si>
    <t>https://ebookcentral.proquest.com/lib/keris/detail.action?docID=928857</t>
  </si>
  <si>
    <t>https://ebookcentral.proquest.com/lib/keris/detail.action?docID=943380</t>
  </si>
  <si>
    <t>https://ebookcentral.proquest.com/lib/keris/detail.action?docID=943941</t>
  </si>
  <si>
    <t>https://ebookcentral.proquest.com/lib/keris/detail.action?docID=943954</t>
  </si>
  <si>
    <t>https://ebookcentral.proquest.com/lib/keris/detail.action?docID=946962</t>
  </si>
  <si>
    <t>https://ebookcentral.proquest.com/lib/keris/detail.action?docID=947665</t>
  </si>
  <si>
    <t>https://ebookcentral.proquest.com/lib/keris/detail.action?docID=947729</t>
  </si>
  <si>
    <t>https://ebookcentral.proquest.com/lib/keris/detail.action?docID=950443</t>
  </si>
  <si>
    <t>https://ebookcentral.proquest.com/lib/keris/detail.action?docID=975635</t>
  </si>
  <si>
    <t>https://ebookcentral.proquest.com/lib/keris/detail.action?docID=978064</t>
  </si>
  <si>
    <t>https://ebookcentral.proquest.com/lib/keris/detail.action?docID=991769</t>
  </si>
  <si>
    <t>https://ebookcentral.proquest.com/lib/keris/detail.action?docID=995795</t>
  </si>
  <si>
    <t>https://ebookcentral.proquest.com/lib/keris/detail.action?docID=996610</t>
  </si>
  <si>
    <t>https://ebookcentral.proquest.com/lib/keris/detail.action?docID=996653</t>
  </si>
  <si>
    <t>https://ebookcentral.proquest.com/lib/keris/detail.action?docID=996731</t>
  </si>
  <si>
    <t>https://ebookcentral.proquest.com/lib/keris/detail.action?docID=996732</t>
  </si>
  <si>
    <t>https://ebookcentral.proquest.com/lib/keris/detail.action?docID=996733</t>
  </si>
  <si>
    <t>https://ebookcentral.proquest.com/lib/keris/detail.action?docID=996750</t>
  </si>
  <si>
    <t>https://ebookcentral.proquest.com/lib/keris/detail.action?docID=996789</t>
  </si>
  <si>
    <t>https://ebookcentral.proquest.com/lib/keris/detail.action?docID=996790</t>
  </si>
  <si>
    <t>https://ebookcentral.proquest.com/lib/keris/detail.action?docID=996798</t>
  </si>
  <si>
    <t>https://ebookcentral.proquest.com/lib/keris/detail.action?docID=996806</t>
  </si>
  <si>
    <t>https://ebookcentral.proquest.com/lib/keris/detail.action?docID=996848</t>
  </si>
  <si>
    <t>https://ebookcentral.proquest.com/lib/keris/detail.action?docID=996852</t>
  </si>
  <si>
    <t>https://ebookcentral.proquest.com/lib/keris/detail.action?docID=996877</t>
  </si>
  <si>
    <t>https://ebookcentral.proquest.com/lib/keris/detail.action?docID=996893</t>
  </si>
  <si>
    <t>https://ebookcentral.proquest.com/lib/keris/detail.action?docID=996907</t>
  </si>
  <si>
    <t>https://ebookcentral.proquest.com/lib/keris/detail.action?docID=996924</t>
  </si>
  <si>
    <t>https://ebookcentral.proquest.com/lib/keris/detail.action?docID=996935</t>
  </si>
  <si>
    <t>https://ebookcentral.proquest.com/lib/keris/detail.action?docID=996954</t>
  </si>
  <si>
    <t>https://ebookcentral.proquest.com/lib/keris/detail.action?docID=996964</t>
  </si>
  <si>
    <t>https://ebookcentral.proquest.com/lib/keris/detail.action?docID=996971</t>
  </si>
  <si>
    <t>https://ebookcentral.proquest.com/lib/keris/detail.action?docID=996979</t>
  </si>
  <si>
    <t>https://ebookcentral.proquest.com/lib/keris/detail.action?docID=997578</t>
  </si>
  <si>
    <t>https://ebookcentral.proquest.com/lib/keris/detail.action?docID=998952</t>
  </si>
  <si>
    <t>https://ebookcentral.proquest.com/lib/keris/detail.action?docID=1012773</t>
  </si>
  <si>
    <t>https://ebookcentral.proquest.com/lib/keris/detail.action?docID=1014234</t>
  </si>
  <si>
    <t>https://ebookcentral.proquest.com/lib/keris/detail.action?docID=1015304</t>
  </si>
  <si>
    <t>https://ebookcentral.proquest.com/lib/keris/detail.action?docID=1015307</t>
  </si>
  <si>
    <t>https://ebookcentral.proquest.com/lib/keris/detail.action?docID=1016412</t>
  </si>
  <si>
    <t>https://ebookcentral.proquest.com/lib/keris/detail.action?docID=1016415</t>
  </si>
  <si>
    <t>https://ebookcentral.proquest.com/lib/keris/detail.action?docID=1017176</t>
  </si>
  <si>
    <t>https://ebookcentral.proquest.com/lib/keris/detail.action?docID=1023027</t>
  </si>
  <si>
    <t>https://ebookcentral.proquest.com/lib/keris/detail.action?docID=1033794</t>
  </si>
  <si>
    <t>https://ebookcentral.proquest.com/lib/keris/detail.action?docID=1033803</t>
  </si>
  <si>
    <t>https://ebookcentral.proquest.com/lib/keris/detail.action?docID=1034726</t>
  </si>
  <si>
    <t>https://ebookcentral.proquest.com/lib/keris/detail.action?docID=1042419</t>
  </si>
  <si>
    <t>https://ebookcentral.proquest.com/lib/keris/detail.action?docID=1042426</t>
  </si>
  <si>
    <t>https://ebookcentral.proquest.com/lib/keris/detail.action?docID=1042437</t>
  </si>
  <si>
    <t>https://ebookcentral.proquest.com/lib/keris/detail.action?docID=1042449</t>
  </si>
  <si>
    <t>https://ebookcentral.proquest.com/lib/keris/detail.action?docID=1043124</t>
  </si>
  <si>
    <t>https://ebookcentral.proquest.com/lib/keris/detail.action?docID=1057771</t>
  </si>
  <si>
    <t>https://ebookcentral.proquest.com/lib/keris/detail.action?docID=1062339</t>
  </si>
  <si>
    <t>https://ebookcentral.proquest.com/lib/keris/detail.action?docID=1062347</t>
  </si>
  <si>
    <t>https://ebookcentral.proquest.com/lib/keris/detail.action?docID=1069113</t>
  </si>
  <si>
    <t>https://ebookcentral.proquest.com/lib/keris/detail.action?docID=1069121</t>
  </si>
  <si>
    <t>https://ebookcentral.proquest.com/lib/keris/detail.action?docID=1069125</t>
  </si>
  <si>
    <t>https://ebookcentral.proquest.com/lib/keris/detail.action?docID=1073478</t>
  </si>
  <si>
    <t>https://ebookcentral.proquest.com/lib/keris/detail.action?docID=1073487</t>
  </si>
  <si>
    <t>https://ebookcentral.proquest.com/lib/keris/detail.action?docID=1073489</t>
  </si>
  <si>
    <t>https://ebookcentral.proquest.com/lib/keris/detail.action?docID=1075605</t>
  </si>
  <si>
    <t>https://ebookcentral.proquest.com/lib/keris/detail.action?docID=1075997</t>
  </si>
  <si>
    <t>https://ebookcentral.proquest.com/lib/keris/detail.action?docID=1081564</t>
  </si>
  <si>
    <t>https://ebookcentral.proquest.com/lib/keris/detail.action?docID=1081581</t>
  </si>
  <si>
    <t>https://ebookcentral.proquest.com/lib/keris/detail.action?docID=1102312</t>
  </si>
  <si>
    <t>https://ebookcentral.proquest.com/lib/keris/detail.action?docID=1104468</t>
  </si>
  <si>
    <t>https://ebookcentral.proquest.com/lib/keris/detail.action?docID=1107716</t>
  </si>
  <si>
    <t>https://ebookcentral.proquest.com/lib/keris/detail.action?docID=1109718</t>
  </si>
  <si>
    <t>https://ebookcentral.proquest.com/lib/keris/detail.action?docID=1111289</t>
  </si>
  <si>
    <t>https://ebookcentral.proquest.com/lib/keris/detail.action?docID=1114595</t>
  </si>
  <si>
    <t>https://ebookcentral.proquest.com/lib/keris/detail.action?docID=1118490</t>
  </si>
  <si>
    <t>https://ebookcentral.proquest.com/lib/keris/detail.action?docID=1118755</t>
  </si>
  <si>
    <t>https://ebookcentral.proquest.com/lib/keris/detail.action?docID=1120268</t>
  </si>
  <si>
    <t>https://ebookcentral.proquest.com/lib/keris/detail.action?docID=1120572</t>
  </si>
  <si>
    <t>https://ebookcentral.proquest.com/lib/keris/detail.action?docID=1120580</t>
  </si>
  <si>
    <t>https://ebookcentral.proquest.com/lib/keris/detail.action?docID=1120617</t>
  </si>
  <si>
    <t>https://ebookcentral.proquest.com/lib/keris/detail.action?docID=1120685</t>
  </si>
  <si>
    <t>https://ebookcentral.proquest.com/lib/keris/detail.action?docID=1126726</t>
  </si>
  <si>
    <t>https://ebookcentral.proquest.com/lib/keris/detail.action?docID=1129590</t>
  </si>
  <si>
    <t>https://ebookcentral.proquest.com/lib/keris/detail.action?docID=1132319</t>
  </si>
  <si>
    <t>https://ebookcentral.proquest.com/lib/keris/detail.action?docID=1137502</t>
  </si>
  <si>
    <t>https://ebookcentral.proquest.com/lib/keris/detail.action?docID=1137503</t>
  </si>
  <si>
    <t>https://ebookcentral.proquest.com/lib/keris/detail.action?docID=1137707</t>
  </si>
  <si>
    <t>https://ebookcentral.proquest.com/lib/keris/detail.action?docID=1140107</t>
  </si>
  <si>
    <t>https://ebookcentral.proquest.com/lib/keris/detail.action?docID=1152956</t>
  </si>
  <si>
    <t>https://ebookcentral.proquest.com/lib/keris/detail.action?docID=1153294</t>
  </si>
  <si>
    <t>https://ebookcentral.proquest.com/lib/keris/detail.action?docID=1158508</t>
  </si>
  <si>
    <t>https://ebookcentral.proquest.com/lib/keris/detail.action?docID=1164978</t>
  </si>
  <si>
    <t>https://ebookcentral.proquest.com/lib/keris/detail.action?docID=1168161</t>
  </si>
  <si>
    <t>https://ebookcentral.proquest.com/lib/keris/detail.action?docID=1170363</t>
  </si>
  <si>
    <t>https://ebookcentral.proquest.com/lib/keris/detail.action?docID=1182802</t>
  </si>
  <si>
    <t>https://ebookcentral.proquest.com/lib/keris/detail.action?docID=1185534</t>
  </si>
  <si>
    <t>https://ebookcentral.proquest.com/lib/keris/detail.action?docID=1187226</t>
  </si>
  <si>
    <t>https://ebookcentral.proquest.com/lib/keris/detail.action?docID=1190926</t>
  </si>
  <si>
    <t>https://ebookcentral.proquest.com/lib/keris/detail.action?docID=1192583</t>
  </si>
  <si>
    <t>https://ebookcentral.proquest.com/lib/keris/detail.action?docID=1204745</t>
  </si>
  <si>
    <t>https://ebookcentral.proquest.com/lib/keris/detail.action?docID=1209947</t>
  </si>
  <si>
    <t>https://ebookcentral.proquest.com/lib/keris/detail.action?docID=1214387</t>
  </si>
  <si>
    <t>https://ebookcentral.proquest.com/lib/keris/detail.action?docID=1220636</t>
  </si>
  <si>
    <t>https://ebookcentral.proquest.com/lib/keris/detail.action?docID=1220637</t>
  </si>
  <si>
    <t>https://ebookcentral.proquest.com/lib/keris/detail.action?docID=1220638</t>
  </si>
  <si>
    <t>https://ebookcentral.proquest.com/lib/keris/detail.action?docID=1220639</t>
  </si>
  <si>
    <t>https://ebookcentral.proquest.com/lib/keris/detail.action?docID=1220640</t>
  </si>
  <si>
    <t>https://ebookcentral.proquest.com/lib/keris/detail.action?docID=1220641</t>
  </si>
  <si>
    <t>https://ebookcentral.proquest.com/lib/keris/detail.action?docID=1220642</t>
  </si>
  <si>
    <t>https://ebookcentral.proquest.com/lib/keris/detail.action?docID=1220643</t>
  </si>
  <si>
    <t>https://ebookcentral.proquest.com/lib/keris/detail.action?docID=1220644</t>
  </si>
  <si>
    <t>https://ebookcentral.proquest.com/lib/keris/detail.action?docID=1220645</t>
  </si>
  <si>
    <t>https://ebookcentral.proquest.com/lib/keris/detail.action?docID=1220646</t>
  </si>
  <si>
    <t>https://ebookcentral.proquest.com/lib/keris/detail.action?docID=1220647</t>
  </si>
  <si>
    <t>https://ebookcentral.proquest.com/lib/keris/detail.action?docID=1220648</t>
  </si>
  <si>
    <t>https://ebookcentral.proquest.com/lib/keris/detail.action?docID=1220649</t>
  </si>
  <si>
    <t>https://ebookcentral.proquest.com/lib/keris/detail.action?docID=1220650</t>
  </si>
  <si>
    <t>https://ebookcentral.proquest.com/lib/keris/detail.action?docID=1220651</t>
  </si>
  <si>
    <t>https://ebookcentral.proquest.com/lib/keris/detail.action?docID=1220652</t>
  </si>
  <si>
    <t>https://ebookcentral.proquest.com/lib/keris/detail.action?docID=1220654</t>
  </si>
  <si>
    <t>https://ebookcentral.proquest.com/lib/keris/detail.action?docID=1274269</t>
  </si>
  <si>
    <t>https://ebookcentral.proquest.com/lib/keris/detail.action?docID=1274385</t>
  </si>
  <si>
    <t>https://ebookcentral.proquest.com/lib/keris/detail.action?docID=1286889</t>
  </si>
  <si>
    <t>https://ebookcentral.proquest.com/lib/keris/detail.action?docID=1303572</t>
  </si>
  <si>
    <t>https://ebookcentral.proquest.com/lib/keris/detail.action?docID=1322330</t>
  </si>
  <si>
    <t>https://ebookcentral.proquest.com/lib/keris/detail.action?docID=1330901</t>
  </si>
  <si>
    <t>https://ebookcentral.proquest.com/lib/keris/detail.action?docID=1336501</t>
  </si>
  <si>
    <t>https://ebookcentral.proquest.com/lib/keris/detail.action?docID=1337884</t>
  </si>
  <si>
    <t>https://ebookcentral.proquest.com/lib/keris/detail.action?docID=1354685</t>
  </si>
  <si>
    <t>https://ebookcentral.proquest.com/lib/keris/detail.action?docID=1357379</t>
  </si>
  <si>
    <t>https://ebookcentral.proquest.com/lib/keris/detail.action?docID=1362034</t>
  </si>
  <si>
    <t>https://ebookcentral.proquest.com/lib/keris/detail.action?docID=1386986</t>
  </si>
  <si>
    <t>https://ebookcentral.proquest.com/lib/keris/detail.action?docID=1387161</t>
  </si>
  <si>
    <t>https://ebookcentral.proquest.com/lib/keris/detail.action?docID=1398195</t>
  </si>
  <si>
    <t>https://ebookcentral.proquest.com/lib/keris/detail.action?docID=1402856</t>
  </si>
  <si>
    <t>https://ebookcentral.proquest.com/lib/keris/detail.action?docID=1402905</t>
  </si>
  <si>
    <t>https://ebookcentral.proquest.com/lib/keris/detail.action?docID=1455574</t>
  </si>
  <si>
    <t>https://ebookcentral.proquest.com/lib/keris/detail.action?docID=1480972</t>
  </si>
  <si>
    <t>https://ebookcentral.proquest.com/lib/keris/detail.action?docID=1492914</t>
  </si>
  <si>
    <t>https://ebookcentral.proquest.com/lib/keris/detail.action?docID=1507496</t>
  </si>
  <si>
    <t>https://ebookcentral.proquest.com/lib/keris/detail.action?docID=1538365</t>
  </si>
  <si>
    <t>https://ebookcentral.proquest.com/lib/keris/detail.action?docID=1569622</t>
  </si>
  <si>
    <t>https://ebookcentral.proquest.com/lib/keris/detail.action?docID=1572868</t>
  </si>
  <si>
    <t>https://ebookcentral.proquest.com/lib/keris/detail.action?docID=1573118</t>
  </si>
  <si>
    <t>https://ebookcentral.proquest.com/lib/keris/detail.action?docID=1579690</t>
  </si>
  <si>
    <t>https://ebookcentral.proquest.com/lib/keris/detail.action?docID=1582264</t>
  </si>
  <si>
    <t>https://ebookcentral.proquest.com/lib/keris/detail.action?docID=1582383</t>
  </si>
  <si>
    <t>https://ebookcentral.proquest.com/lib/keris/detail.action?docID=1582931</t>
  </si>
  <si>
    <t>https://ebookcentral.proquest.com/lib/keris/detail.action?docID=1591060</t>
  </si>
  <si>
    <t>https://ebookcentral.proquest.com/lib/keris/detail.action?docID=1591335</t>
  </si>
  <si>
    <t>https://ebookcentral.proquest.com/lib/keris/detail.action?docID=1591531</t>
  </si>
  <si>
    <t>https://ebookcentral.proquest.com/lib/keris/detail.action?docID=1593394</t>
  </si>
  <si>
    <t>https://ebookcentral.proquest.com/lib/keris/detail.action?docID=1593670</t>
  </si>
  <si>
    <t>https://ebookcentral.proquest.com/lib/keris/detail.action?docID=1593704</t>
  </si>
  <si>
    <t>https://ebookcentral.proquest.com/lib/keris/detail.action?docID=1594580</t>
  </si>
  <si>
    <t>https://ebookcentral.proquest.com/lib/keris/detail.action?docID=1594609</t>
  </si>
  <si>
    <t>https://ebookcentral.proquest.com/lib/keris/detail.action?docID=1594694</t>
  </si>
  <si>
    <t>https://ebookcentral.proquest.com/lib/keris/detail.action?docID=1594711</t>
  </si>
  <si>
    <t>https://ebookcentral.proquest.com/lib/keris/detail.action?docID=1594728</t>
  </si>
  <si>
    <t>https://ebookcentral.proquest.com/lib/keris/detail.action?docID=1594747</t>
  </si>
  <si>
    <t>https://ebookcentral.proquest.com/lib/keris/detail.action?docID=1594749</t>
  </si>
  <si>
    <t>https://ebookcentral.proquest.com/lib/keris/detail.action?docID=1594823</t>
  </si>
  <si>
    <t>https://ebookcentral.proquest.com/lib/keris/detail.action?docID=1596841</t>
  </si>
  <si>
    <t>https://ebookcentral.proquest.com/lib/keris/detail.action?docID=1597584</t>
  </si>
  <si>
    <t>https://ebookcentral.proquest.com/lib/keris/detail.action?docID=1602504</t>
  </si>
  <si>
    <t>https://ebookcentral.proquest.com/lib/keris/detail.action?docID=1611704</t>
  </si>
  <si>
    <t>https://ebookcentral.proquest.com/lib/keris/detail.action?docID=1630550</t>
  </si>
  <si>
    <t>https://ebookcentral.proquest.com/lib/keris/detail.action?docID=1630551</t>
  </si>
  <si>
    <t>https://ebookcentral.proquest.com/lib/keris/detail.action?docID=1630554</t>
  </si>
  <si>
    <t>https://ebookcentral.proquest.com/lib/keris/detail.action?docID=1630555</t>
  </si>
  <si>
    <t>https://ebookcentral.proquest.com/lib/keris/detail.action?docID=1632822</t>
  </si>
  <si>
    <t>https://ebookcentral.proquest.com/lib/keris/detail.action?docID=1636277</t>
  </si>
  <si>
    <t>https://ebookcentral.proquest.com/lib/keris/detail.action?docID=1641590</t>
  </si>
  <si>
    <t>https://ebookcentral.proquest.com/lib/keris/detail.action?docID=1643911</t>
  </si>
  <si>
    <t>https://ebookcentral.proquest.com/lib/keris/detail.action?docID=1645665</t>
  </si>
  <si>
    <t>https://ebookcentral.proquest.com/lib/keris/detail.action?docID=1653007</t>
  </si>
  <si>
    <t>https://ebookcentral.proquest.com/lib/keris/detail.action?docID=1653008</t>
  </si>
  <si>
    <t>https://ebookcentral.proquest.com/lib/keris/detail.action?docID=1653011</t>
  </si>
  <si>
    <t>https://ebookcentral.proquest.com/lib/keris/detail.action?docID=1653012</t>
  </si>
  <si>
    <t>https://ebookcentral.proquest.com/lib/keris/detail.action?docID=1653013</t>
  </si>
  <si>
    <t>https://ebookcentral.proquest.com/lib/keris/detail.action?docID=1653015</t>
  </si>
  <si>
    <t>https://ebookcentral.proquest.com/lib/keris/detail.action?docID=1653016</t>
  </si>
  <si>
    <t>https://ebookcentral.proquest.com/lib/keris/detail.action?docID=1653017</t>
  </si>
  <si>
    <t>https://ebookcentral.proquest.com/lib/keris/detail.action?docID=1653018</t>
  </si>
  <si>
    <t>https://ebookcentral.proquest.com/lib/keris/detail.action?docID=1653019</t>
  </si>
  <si>
    <t>https://ebookcentral.proquest.com/lib/keris/detail.action?docID=1653020</t>
  </si>
  <si>
    <t>https://ebookcentral.proquest.com/lib/keris/detail.action?docID=1653183</t>
  </si>
  <si>
    <t>https://ebookcentral.proquest.com/lib/keris/detail.action?docID=1653194</t>
  </si>
  <si>
    <t>https://ebookcentral.proquest.com/lib/keris/detail.action?docID=1657764</t>
  </si>
  <si>
    <t>https://ebookcentral.proquest.com/lib/keris/detail.action?docID=1657922</t>
  </si>
  <si>
    <t>https://ebookcentral.proquest.com/lib/keris/detail.action?docID=1664173</t>
  </si>
  <si>
    <t>https://ebookcentral.proquest.com/lib/keris/detail.action?docID=1666486</t>
  </si>
  <si>
    <t>https://ebookcentral.proquest.com/lib/keris/detail.action?docID=1675122</t>
  </si>
  <si>
    <t>https://ebookcentral.proquest.com/lib/keris/detail.action?docID=1675123</t>
  </si>
  <si>
    <t>https://ebookcentral.proquest.com/lib/keris/detail.action?docID=1684790</t>
  </si>
  <si>
    <t>https://ebookcentral.proquest.com/lib/keris/detail.action?docID=1687062</t>
  </si>
  <si>
    <t>https://ebookcentral.proquest.com/lib/keris/detail.action?docID=1690585</t>
  </si>
  <si>
    <t>https://ebookcentral.proquest.com/lib/keris/detail.action?docID=1711021</t>
  </si>
  <si>
    <t>https://ebookcentral.proquest.com/lib/keris/detail.action?docID=1711030</t>
  </si>
  <si>
    <t>https://ebookcentral.proquest.com/lib/keris/detail.action?docID=1712887</t>
  </si>
  <si>
    <t>https://ebookcentral.proquest.com/lib/keris/detail.action?docID=1718160</t>
  </si>
  <si>
    <t>https://ebookcentral.proquest.com/lib/keris/detail.action?docID=1732115</t>
  </si>
  <si>
    <t>https://ebookcentral.proquest.com/lib/keris/detail.action?docID=1732497</t>
  </si>
  <si>
    <t>https://ebookcentral.proquest.com/lib/keris/detail.action?docID=1744970</t>
  </si>
  <si>
    <t>https://ebookcentral.proquest.com/lib/keris/detail.action?docID=1747371</t>
  </si>
  <si>
    <t>https://ebookcentral.proquest.com/lib/keris/detail.action?docID=1754258</t>
  </si>
  <si>
    <t>https://ebookcentral.proquest.com/lib/keris/detail.action?docID=1757960</t>
  </si>
  <si>
    <t>https://ebookcentral.proquest.com/lib/keris/detail.action?docID=1765081</t>
  </si>
  <si>
    <t>https://ebookcentral.proquest.com/lib/keris/detail.action?docID=1767025</t>
  </si>
  <si>
    <t>https://ebookcentral.proquest.com/lib/keris/detail.action?docID=1770453</t>
  </si>
  <si>
    <t>https://ebookcentral.proquest.com/lib/keris/detail.action?docID=1770684</t>
  </si>
  <si>
    <t>https://ebookcentral.proquest.com/lib/keris/detail.action?docID=1770688</t>
  </si>
  <si>
    <t>https://ebookcentral.proquest.com/lib/keris/detail.action?docID=1777818</t>
  </si>
  <si>
    <t>https://ebookcentral.proquest.com/lib/keris/detail.action?docID=1779115</t>
  </si>
  <si>
    <t>https://ebookcentral.proquest.com/lib/keris/detail.action?docID=1779117</t>
  </si>
  <si>
    <t>https://ebookcentral.proquest.com/lib/keris/detail.action?docID=1779118</t>
  </si>
  <si>
    <t>https://ebookcentral.proquest.com/lib/keris/detail.action?docID=1779120</t>
  </si>
  <si>
    <t>https://ebookcentral.proquest.com/lib/keris/detail.action?docID=1779124</t>
  </si>
  <si>
    <t>https://ebookcentral.proquest.com/lib/keris/detail.action?docID=1780089</t>
  </si>
  <si>
    <t>https://ebookcentral.proquest.com/lib/keris/detail.action?docID=1780104</t>
  </si>
  <si>
    <t>https://ebookcentral.proquest.com/lib/keris/detail.action?docID=1781840</t>
  </si>
  <si>
    <t>https://ebookcentral.proquest.com/lib/keris/detail.action?docID=1808166</t>
  </si>
  <si>
    <t>https://ebookcentral.proquest.com/lib/keris/detail.action?docID=1810330</t>
  </si>
  <si>
    <t>https://ebookcentral.proquest.com/lib/keris/detail.action?docID=1811476</t>
  </si>
  <si>
    <t>https://ebookcentral.proquest.com/lib/keris/detail.action?docID=1813354</t>
  </si>
  <si>
    <t>https://ebookcentral.proquest.com/lib/keris/detail.action?docID=1814984</t>
  </si>
  <si>
    <t>https://ebookcentral.proquest.com/lib/keris/detail.action?docID=1819338</t>
  </si>
  <si>
    <t>https://ebookcentral.proquest.com/lib/keris/detail.action?docID=1824307</t>
  </si>
  <si>
    <t>https://ebookcentral.proquest.com/lib/keris/detail.action?docID=1832443</t>
  </si>
  <si>
    <t>https://ebookcentral.proquest.com/lib/keris/detail.action?docID=1876193</t>
  </si>
  <si>
    <t>https://ebookcentral.proquest.com/lib/keris/detail.action?docID=1877219</t>
  </si>
  <si>
    <t>https://ebookcentral.proquest.com/lib/keris/detail.action?docID=1882140</t>
  </si>
  <si>
    <t>https://ebookcentral.proquest.com/lib/keris/detail.action?docID=1882167</t>
  </si>
  <si>
    <t>https://ebookcentral.proquest.com/lib/keris/detail.action?docID=1886740</t>
  </si>
  <si>
    <t>https://ebookcentral.proquest.com/lib/keris/detail.action?docID=1895039</t>
  </si>
  <si>
    <t>https://ebookcentral.proquest.com/lib/keris/detail.action?docID=1895085</t>
  </si>
  <si>
    <t>https://ebookcentral.proquest.com/lib/keris/detail.action?docID=1895466</t>
  </si>
  <si>
    <t>https://ebookcentral.proquest.com/lib/keris/detail.action?docID=1895479</t>
  </si>
  <si>
    <t>https://ebookcentral.proquest.com/lib/keris/detail.action?docID=1895505</t>
  </si>
  <si>
    <t>https://ebookcentral.proquest.com/lib/keris/detail.action?docID=1895603</t>
  </si>
  <si>
    <t>https://ebookcentral.proquest.com/lib/keris/detail.action?docID=1895648</t>
  </si>
  <si>
    <t>https://ebookcentral.proquest.com/lib/keris/detail.action?docID=1895704</t>
  </si>
  <si>
    <t>https://ebookcentral.proquest.com/lib/keris/detail.action?docID=1895705</t>
  </si>
  <si>
    <t>https://ebookcentral.proquest.com/lib/keris/detail.action?docID=1895798</t>
  </si>
  <si>
    <t>https://ebookcentral.proquest.com/lib/keris/detail.action?docID=1895801</t>
  </si>
  <si>
    <t>https://ebookcentral.proquest.com/lib/keris/detail.action?docID=1895802</t>
  </si>
  <si>
    <t>https://ebookcentral.proquest.com/lib/keris/detail.action?docID=1895803</t>
  </si>
  <si>
    <t>https://ebookcentral.proquest.com/lib/keris/detail.action?docID=1896002</t>
  </si>
  <si>
    <t>https://ebookcentral.proquest.com/lib/keris/detail.action?docID=1911582</t>
  </si>
  <si>
    <t>https://ebookcentral.proquest.com/lib/keris/detail.action?docID=1911591</t>
  </si>
  <si>
    <t>https://ebookcentral.proquest.com/lib/keris/detail.action?docID=1911969</t>
  </si>
  <si>
    <t>https://ebookcentral.proquest.com/lib/keris/detail.action?docID=1915540</t>
  </si>
  <si>
    <t>https://ebookcentral.proquest.com/lib/keris/detail.action?docID=1920851</t>
  </si>
  <si>
    <t>https://ebookcentral.proquest.com/lib/keris/detail.action?docID=1926069</t>
  </si>
  <si>
    <t>https://ebookcentral.proquest.com/lib/keris/detail.action?docID=1926297</t>
  </si>
  <si>
    <t>https://ebookcentral.proquest.com/lib/keris/detail.action?docID=1929350</t>
  </si>
  <si>
    <t>https://ebookcentral.proquest.com/lib/keris/detail.action?docID=1931481</t>
  </si>
  <si>
    <t>https://ebookcentral.proquest.com/lib/keris/detail.action?docID=1953173</t>
  </si>
  <si>
    <t>https://ebookcentral.proquest.com/lib/keris/detail.action?docID=1953259</t>
  </si>
  <si>
    <t>https://ebookcentral.proquest.com/lib/keris/detail.action?docID=1956429</t>
  </si>
  <si>
    <t>https://ebookcentral.proquest.com/lib/keris/detail.action?docID=1962924</t>
  </si>
  <si>
    <t>https://ebookcentral.proquest.com/lib/keris/detail.action?docID=1983610</t>
  </si>
  <si>
    <t>https://ebookcentral.proquest.com/lib/keris/detail.action?docID=1992084</t>
  </si>
  <si>
    <t>https://ebookcentral.proquest.com/lib/keris/detail.action?docID=1995291</t>
  </si>
  <si>
    <t>https://ebookcentral.proquest.com/lib/keris/detail.action?docID=1995304</t>
  </si>
  <si>
    <t>https://ebookcentral.proquest.com/lib/keris/detail.action?docID=2006488</t>
  </si>
  <si>
    <t>https://ebookcentral.proquest.com/lib/keris/detail.action?docID=2009908</t>
  </si>
  <si>
    <t>https://ebookcentral.proquest.com/lib/keris/detail.action?docID=2009910</t>
  </si>
  <si>
    <t>https://ebookcentral.proquest.com/lib/keris/detail.action?docID=2012648</t>
  </si>
  <si>
    <t>https://ebookcentral.proquest.com/lib/keris/detail.action?docID=2027190</t>
  </si>
  <si>
    <t>https://ebookcentral.proquest.com/lib/keris/detail.action?docID=2029824</t>
  </si>
  <si>
    <t>https://ebookcentral.proquest.com/lib/keris/detail.action?docID=2033922</t>
  </si>
  <si>
    <t>https://ebookcentral.proquest.com/lib/keris/detail.action?docID=2041979</t>
  </si>
  <si>
    <t>https://ebookcentral.proquest.com/lib/keris/detail.action?docID=2044614</t>
  </si>
  <si>
    <t>https://ebookcentral.proquest.com/lib/keris/detail.action?docID=2048505</t>
  </si>
  <si>
    <t>https://ebookcentral.proquest.com/lib/keris/detail.action?docID=2050888</t>
  </si>
  <si>
    <t>https://ebookcentral.proquest.com/lib/keris/detail.action?docID=2053970</t>
  </si>
  <si>
    <t>https://ebookcentral.proquest.com/lib/keris/detail.action?docID=2053971</t>
  </si>
  <si>
    <t>https://ebookcentral.proquest.com/lib/keris/detail.action?docID=2055671</t>
  </si>
  <si>
    <t>https://ebookcentral.proquest.com/lib/keris/detail.action?docID=2056410</t>
  </si>
  <si>
    <t>https://ebookcentral.proquest.com/lib/keris/detail.action?docID=2065468</t>
  </si>
  <si>
    <t>https://ebookcentral.proquest.com/lib/keris/detail.action?docID=2066548</t>
  </si>
  <si>
    <t>https://ebookcentral.proquest.com/lib/keris/detail.action?docID=2066553</t>
  </si>
  <si>
    <t>https://ebookcentral.proquest.com/lib/keris/detail.action?docID=2066568</t>
  </si>
  <si>
    <t>https://ebookcentral.proquest.com/lib/keris/detail.action?docID=2067792</t>
  </si>
  <si>
    <t>https://ebookcentral.proquest.com/lib/keris/detail.action?docID=2068534</t>
  </si>
  <si>
    <t>https://ebookcentral.proquest.com/lib/keris/detail.action?docID=2070517</t>
  </si>
  <si>
    <t>https://ebookcentral.proquest.com/lib/keris/detail.action?docID=2071261</t>
  </si>
  <si>
    <t>https://ebookcentral.proquest.com/lib/keris/detail.action?docID=2077534</t>
  </si>
  <si>
    <t>https://ebookcentral.proquest.com/lib/keris/detail.action?docID=2079971</t>
  </si>
  <si>
    <t>https://ebookcentral.proquest.com/lib/keris/detail.action?docID=2080033</t>
  </si>
  <si>
    <t>https://ebookcentral.proquest.com/lib/keris/detail.action?docID=2080049</t>
  </si>
  <si>
    <t>https://ebookcentral.proquest.com/lib/keris/detail.action?docID=2080108</t>
  </si>
  <si>
    <t>https://ebookcentral.proquest.com/lib/keris/detail.action?docID=2080118</t>
  </si>
  <si>
    <t>https://ebookcentral.proquest.com/lib/keris/detail.action?docID=2080169</t>
  </si>
  <si>
    <t>https://ebookcentral.proquest.com/lib/keris/detail.action?docID=2084444</t>
  </si>
  <si>
    <t>https://ebookcentral.proquest.com/lib/keris/detail.action?docID=2093289</t>
  </si>
  <si>
    <t>https://ebookcentral.proquest.com/lib/keris/detail.action?docID=2093307</t>
  </si>
  <si>
    <t>https://ebookcentral.proquest.com/lib/keris/detail.action?docID=2093326</t>
  </si>
  <si>
    <t>https://ebookcentral.proquest.com/lib/keris/detail.action?docID=2098540</t>
  </si>
  <si>
    <t>https://ebookcentral.proquest.com/lib/keris/detail.action?docID=2121292</t>
  </si>
  <si>
    <t>https://ebookcentral.proquest.com/lib/keris/detail.action?docID=2130890</t>
  </si>
  <si>
    <t>https://ebookcentral.proquest.com/lib/keris/detail.action?docID=2130945</t>
  </si>
  <si>
    <t>https://ebookcentral.proquest.com/lib/keris/detail.action?docID=2144875</t>
  </si>
  <si>
    <t>https://ebookcentral.proquest.com/lib/keris/detail.action?docID=2144880</t>
  </si>
  <si>
    <t>https://ebookcentral.proquest.com/lib/keris/detail.action?docID=2144898</t>
  </si>
  <si>
    <t>https://ebookcentral.proquest.com/lib/keris/detail.action?docID=2146902</t>
  </si>
  <si>
    <t>https://ebookcentral.proquest.com/lib/keris/detail.action?docID=2146910</t>
  </si>
  <si>
    <t>https://ebookcentral.proquest.com/lib/keris/detail.action?docID=2146913</t>
  </si>
  <si>
    <t>https://ebookcentral.proquest.com/lib/keris/detail.action?docID=2193986</t>
  </si>
  <si>
    <t>https://ebookcentral.proquest.com/lib/keris/detail.action?docID=2198116</t>
  </si>
  <si>
    <t>https://ebookcentral.proquest.com/lib/keris/detail.action?docID=2198233</t>
  </si>
  <si>
    <t>https://ebookcentral.proquest.com/lib/keris/detail.action?docID=2198494</t>
  </si>
  <si>
    <t>https://ebookcentral.proquest.com/lib/keris/detail.action?docID=3004094</t>
  </si>
  <si>
    <t>https://ebookcentral.proquest.com/lib/keris/detail.action?docID=3004132</t>
  </si>
  <si>
    <t>https://ebookcentral.proquest.com/lib/keris/detail.action?docID=3017210</t>
  </si>
  <si>
    <t>https://ebookcentral.proquest.com/lib/keris/detail.action?docID=3032295</t>
  </si>
  <si>
    <t>https://ebookcentral.proquest.com/lib/keris/detail.action?docID=3039328</t>
  </si>
  <si>
    <t>https://ebookcentral.proquest.com/lib/keris/detail.action?docID=3039398</t>
  </si>
  <si>
    <t>https://ebookcentral.proquest.com/lib/keris/detail.action?docID=3055295</t>
  </si>
  <si>
    <t>https://ebookcentral.proquest.com/lib/keris/detail.action?docID=3116734</t>
  </si>
  <si>
    <t>https://ebookcentral.proquest.com/lib/keris/detail.action?docID=3134697</t>
  </si>
  <si>
    <t>https://ebookcentral.proquest.com/lib/keris/detail.action?docID=3138650</t>
  </si>
  <si>
    <t>https://ebookcentral.proquest.com/lib/keris/detail.action?docID=3138726</t>
  </si>
  <si>
    <t>https://ebookcentral.proquest.com/lib/keris/detail.action?docID=3239053</t>
  </si>
  <si>
    <t>https://ebookcentral.proquest.com/lib/keris/detail.action?docID=3239072</t>
  </si>
  <si>
    <t>https://ebookcentral.proquest.com/lib/keris/detail.action?docID=3239090</t>
  </si>
  <si>
    <t>https://ebookcentral.proquest.com/lib/keris/detail.action?docID=3299489</t>
  </si>
  <si>
    <t>https://ebookcentral.proquest.com/lib/keris/detail.action?docID=3299491</t>
  </si>
  <si>
    <t>https://ebookcentral.proquest.com/lib/keris/detail.action?docID=3299493</t>
  </si>
  <si>
    <t>https://ebookcentral.proquest.com/lib/keris/detail.action?docID=3299499</t>
  </si>
  <si>
    <t>https://ebookcentral.proquest.com/lib/keris/detail.action?docID=3299522</t>
  </si>
  <si>
    <t>https://ebookcentral.proquest.com/lib/keris/detail.action?docID=3299574</t>
  </si>
  <si>
    <t>https://ebookcentral.proquest.com/lib/keris/detail.action?docID=3316147</t>
  </si>
  <si>
    <t>https://ebookcentral.proquest.com/lib/keris/detail.action?docID=3318589</t>
  </si>
  <si>
    <t>https://ebookcentral.proquest.com/lib/keris/detail.action?docID=3318621</t>
  </si>
  <si>
    <t>https://ebookcentral.proquest.com/lib/keris/detail.action?docID=3318723</t>
  </si>
  <si>
    <t>https://ebookcentral.proquest.com/lib/keris/detail.action?docID=3318802</t>
  </si>
  <si>
    <t>https://ebookcentral.proquest.com/lib/keris/detail.action?docID=3318832</t>
  </si>
  <si>
    <t>https://ebookcentral.proquest.com/lib/keris/detail.action?docID=3318838</t>
  </si>
  <si>
    <t>https://ebookcentral.proquest.com/lib/keris/detail.action?docID=3330284</t>
  </si>
  <si>
    <t>https://ebookcentral.proquest.com/lib/keris/detail.action?docID=3330287</t>
  </si>
  <si>
    <t>https://ebookcentral.proquest.com/lib/keris/detail.action?docID=3330291</t>
  </si>
  <si>
    <t>https://ebookcentral.proquest.com/lib/keris/detail.action?docID=3330293</t>
  </si>
  <si>
    <t>https://ebookcentral.proquest.com/lib/keris/detail.action?docID=3330295</t>
  </si>
  <si>
    <t>https://ebookcentral.proquest.com/lib/keris/detail.action?docID=3339439</t>
  </si>
  <si>
    <t>https://ebookcentral.proquest.com/lib/keris/detail.action?docID=3339457</t>
  </si>
  <si>
    <t>https://ebookcentral.proquest.com/lib/keris/detail.action?docID=3339585</t>
  </si>
  <si>
    <t>https://ebookcentral.proquest.com/lib/keris/detail.action?docID=3339617</t>
  </si>
  <si>
    <t>https://ebookcentral.proquest.com/lib/keris/detail.action?docID=3339619</t>
  </si>
  <si>
    <t>https://ebookcentral.proquest.com/lib/keris/detail.action?docID=3339690</t>
  </si>
  <si>
    <t>https://ebookcentral.proquest.com/lib/keris/detail.action?docID=3339703</t>
  </si>
  <si>
    <t>https://ebookcentral.proquest.com/lib/keris/detail.action?docID=3339724</t>
  </si>
  <si>
    <t>https://ebookcentral.proquest.com/lib/keris/detail.action?docID=3339730</t>
  </si>
  <si>
    <t>https://ebookcentral.proquest.com/lib/keris/detail.action?docID=3339814</t>
  </si>
  <si>
    <t>https://ebookcentral.proquest.com/lib/keris/detail.action?docID=3339846</t>
  </si>
  <si>
    <t>https://ebookcentral.proquest.com/lib/keris/detail.action?docID=3339848</t>
  </si>
  <si>
    <t>https://ebookcentral.proquest.com/lib/keris/detail.action?docID=3339873</t>
  </si>
  <si>
    <t>https://ebookcentral.proquest.com/lib/keris/detail.action?docID=3339919</t>
  </si>
  <si>
    <t>https://ebookcentral.proquest.com/lib/keris/detail.action?docID=3339924</t>
  </si>
  <si>
    <t>https://ebookcentral.proquest.com/lib/keris/detail.action?docID=3339987</t>
  </si>
  <si>
    <t>https://ebookcentral.proquest.com/lib/keris/detail.action?docID=3339988</t>
  </si>
  <si>
    <t>https://ebookcentral.proquest.com/lib/keris/detail.action?docID=3339990</t>
  </si>
  <si>
    <t>https://ebookcentral.proquest.com/lib/keris/detail.action?docID=3382465</t>
  </si>
  <si>
    <t>https://ebookcentral.proquest.com/lib/keris/detail.action?docID=3382466</t>
  </si>
  <si>
    <t>https://ebookcentral.proquest.com/lib/keris/detail.action?docID=3382478</t>
  </si>
  <si>
    <t>https://ebookcentral.proquest.com/lib/keris/detail.action?docID=3382481</t>
  </si>
  <si>
    <t>https://ebookcentral.proquest.com/lib/keris/detail.action?docID=3382482</t>
  </si>
  <si>
    <t>https://ebookcentral.proquest.com/lib/keris/detail.action?docID=3382498</t>
  </si>
  <si>
    <t>https://ebookcentral.proquest.com/lib/keris/detail.action?docID=3382501</t>
  </si>
  <si>
    <t>https://ebookcentral.proquest.com/lib/keris/detail.action?docID=3382519</t>
  </si>
  <si>
    <t>https://ebookcentral.proquest.com/lib/keris/detail.action?docID=3382520</t>
  </si>
  <si>
    <t>https://ebookcentral.proquest.com/lib/keris/detail.action?docID=3382532</t>
  </si>
  <si>
    <t>https://ebookcentral.proquest.com/lib/keris/detail.action?docID=3382545</t>
  </si>
  <si>
    <t>https://ebookcentral.proquest.com/lib/keris/detail.action?docID=3384060</t>
  </si>
  <si>
    <t>https://ebookcentral.proquest.com/lib/keris/detail.action?docID=3399773</t>
  </si>
  <si>
    <t>https://ebookcentral.proquest.com/lib/keris/detail.action?docID=3399786</t>
  </si>
  <si>
    <t>https://ebookcentral.proquest.com/lib/keris/detail.action?docID=3399787</t>
  </si>
  <si>
    <t>https://ebookcentral.proquest.com/lib/keris/detail.action?docID=3399811</t>
  </si>
  <si>
    <t>https://ebookcentral.proquest.com/lib/keris/detail.action?docID=3399820</t>
  </si>
  <si>
    <t>https://ebookcentral.proquest.com/lib/keris/detail.action?docID=3399845</t>
  </si>
  <si>
    <t>https://ebookcentral.proquest.com/lib/keris/detail.action?docID=3399902</t>
  </si>
  <si>
    <t>https://ebookcentral.proquest.com/lib/keris/detail.action?docID=3414458</t>
  </si>
  <si>
    <t>https://ebookcentral.proquest.com/lib/keris/detail.action?docID=3420850</t>
  </si>
  <si>
    <t>https://ebookcentral.proquest.com/lib/keris/detail.action?docID=3420854</t>
  </si>
  <si>
    <t>https://ebookcentral.proquest.com/lib/keris/detail.action?docID=3421066</t>
  </si>
  <si>
    <t>https://ebookcentral.proquest.com/lib/keris/detail.action?docID=3421068</t>
  </si>
  <si>
    <t>https://ebookcentral.proquest.com/lib/keris/detail.action?docID=3421352</t>
  </si>
  <si>
    <t>https://ebookcentral.proquest.com/lib/keris/detail.action?docID=3440213</t>
  </si>
  <si>
    <t>https://ebookcentral.proquest.com/lib/keris/detail.action?docID=3543950</t>
  </si>
  <si>
    <t>https://ebookcentral.proquest.com/lib/keris/detail.action?docID=3543953</t>
  </si>
  <si>
    <t>https://ebookcentral.proquest.com/lib/keris/detail.action?docID=3544751</t>
  </si>
  <si>
    <t>https://ebookcentral.proquest.com/lib/keris/detail.action?docID=3563878</t>
  </si>
  <si>
    <t>https://ebookcentral.proquest.com/lib/keris/detail.action?docID=3572275</t>
  </si>
  <si>
    <t>https://ebookcentral.proquest.com/lib/keris/detail.action?docID=4002136</t>
  </si>
  <si>
    <t>https://ebookcentral.proquest.com/lib/keris/detail.action?docID=4034178</t>
  </si>
  <si>
    <t>https://ebookcentral.proquest.com/lib/keris/detail.action?docID=4035676</t>
  </si>
  <si>
    <t>https://ebookcentral.proquest.com/lib/keris/detail.action?docID=4036301</t>
  </si>
  <si>
    <t>https://ebookcentral.proquest.com/lib/keris/detail.action?docID=4036736</t>
  </si>
  <si>
    <t>https://ebookcentral.proquest.com/lib/keris/detail.action?docID=4036738</t>
  </si>
  <si>
    <t>https://ebookcentral.proquest.com/lib/keris/detail.action?docID=4037359</t>
  </si>
  <si>
    <t>https://ebookcentral.proquest.com/lib/keris/detail.action?docID=4038059</t>
  </si>
  <si>
    <t>https://ebookcentral.proquest.com/lib/keris/detail.action?docID=4038118</t>
  </si>
  <si>
    <t>https://ebookcentral.proquest.com/lib/keris/detail.action?docID=4038461</t>
  </si>
  <si>
    <t>https://ebookcentral.proquest.com/lib/keris/detail.action?docID=4038528</t>
  </si>
  <si>
    <t>https://ebookcentral.proquest.com/lib/keris/detail.action?docID=4038665</t>
  </si>
  <si>
    <t>https://ebookcentral.proquest.com/lib/keris/detail.action?docID=4038803</t>
  </si>
  <si>
    <t>https://ebookcentral.proquest.com/lib/keris/detail.action?docID=4039197</t>
  </si>
  <si>
    <t>https://ebookcentral.proquest.com/lib/keris/detail.action?docID=4039553</t>
  </si>
  <si>
    <t>https://ebookcentral.proquest.com/lib/keris/detail.action?docID=4039820</t>
  </si>
  <si>
    <t>https://ebookcentral.proquest.com/lib/keris/detail.action?docID=4040294</t>
  </si>
  <si>
    <t>https://ebookcentral.proquest.com/lib/keris/detail.action?docID=4040883</t>
  </si>
  <si>
    <t>https://ebookcentral.proquest.com/lib/keris/detail.action?docID=4040928</t>
  </si>
  <si>
    <t>https://ebookcentral.proquest.com/lib/keris/detail.action?docID=4041625</t>
  </si>
  <si>
    <t>https://ebookcentral.proquest.com/lib/keris/detail.action?docID=4041627</t>
  </si>
  <si>
    <t>https://ebookcentral.proquest.com/lib/keris/detail.action?docID=4041633</t>
  </si>
  <si>
    <t>https://ebookcentral.proquest.com/lib/keris/detail.action?docID=4041652</t>
  </si>
  <si>
    <t>https://ebookcentral.proquest.com/lib/keris/detail.action?docID=4041664</t>
  </si>
  <si>
    <t>https://ebookcentral.proquest.com/lib/keris/detail.action?docID=4041671</t>
  </si>
  <si>
    <t>https://ebookcentral.proquest.com/lib/keris/detail.action?docID=4041678</t>
  </si>
  <si>
    <t>https://ebookcentral.proquest.com/lib/keris/detail.action?docID=4041690</t>
  </si>
  <si>
    <t>https://ebookcentral.proquest.com/lib/keris/detail.action?docID=4041801</t>
  </si>
  <si>
    <t>https://ebookcentral.proquest.com/lib/keris/detail.action?docID=4041927</t>
  </si>
  <si>
    <t>https://ebookcentral.proquest.com/lib/keris/detail.action?docID=4041948</t>
  </si>
  <si>
    <t>https://ebookcentral.proquest.com/lib/keris/detail.action?docID=4041973</t>
  </si>
  <si>
    <t>https://ebookcentral.proquest.com/lib/keris/detail.action?docID=4042007</t>
  </si>
  <si>
    <t>https://ebookcentral.proquest.com/lib/keris/detail.action?docID=4042018</t>
  </si>
  <si>
    <t>https://ebookcentral.proquest.com/lib/keris/detail.action?docID=4042039</t>
  </si>
  <si>
    <t>https://ebookcentral.proquest.com/lib/keris/detail.action?docID=4042041</t>
  </si>
  <si>
    <t>https://ebookcentral.proquest.com/lib/keris/detail.action?docID=4042046</t>
  </si>
  <si>
    <t>https://ebookcentral.proquest.com/lib/keris/detail.action?docID=4043738</t>
  </si>
  <si>
    <t>https://ebookcentral.proquest.com/lib/keris/detail.action?docID=4043934</t>
  </si>
  <si>
    <t>https://ebookcentral.proquest.com/lib/keris/detail.action?docID=4043944</t>
  </si>
  <si>
    <t>https://ebookcentral.proquest.com/lib/keris/detail.action?docID=4043963</t>
  </si>
  <si>
    <t>https://ebookcentral.proquest.com/lib/keris/detail.action?docID=4083313</t>
  </si>
  <si>
    <t>https://ebookcentral.proquest.com/lib/keris/detail.action?docID=4107585</t>
  </si>
  <si>
    <t>https://ebookcentral.proquest.com/lib/keris/detail.action?docID=4182139</t>
  </si>
  <si>
    <t>https://ebookcentral.proquest.com/lib/keris/detail.action?docID=4307799</t>
  </si>
  <si>
    <t>https://ebookcentral.proquest.com/lib/keris/detail.action?docID=4315716</t>
  </si>
  <si>
    <t>https://ebookcentral.proquest.com/lib/keris/detail.action?docID=4315777</t>
  </si>
  <si>
    <t>https://ebookcentral.proquest.com/lib/keris/detail.action?docID=4316057</t>
  </si>
  <si>
    <t>https://ebookcentral.proquest.com/lib/keris/detail.action?docID=4316766</t>
  </si>
  <si>
    <t>https://ebookcentral.proquest.com/lib/keris/detail.action?docID=4332453</t>
  </si>
  <si>
    <t>https://ebookcentral.proquest.com/lib/keris/detail.action?docID=4388625</t>
  </si>
  <si>
    <t>https://ebookcentral.proquest.com/lib/keris/detail.action?docID=4390699</t>
  </si>
  <si>
    <t>https://ebookcentral.proquest.com/lib/keris/detail.action?docID=4390734</t>
  </si>
  <si>
    <t>https://ebookcentral.proquest.com/lib/keris/detail.action?docID=4390786</t>
  </si>
  <si>
    <t>https://ebookcentral.proquest.com/lib/keris/detail.action?docID=4390880</t>
  </si>
  <si>
    <t>https://ebookcentral.proquest.com/lib/keris/detail.action?docID=4390883</t>
  </si>
  <si>
    <t>https://ebookcentral.proquest.com/lib/keris/detail.action?docID=4390920</t>
  </si>
  <si>
    <t>https://ebookcentral.proquest.com/lib/keris/detail.action?docID=4392768</t>
  </si>
  <si>
    <t>https://ebookcentral.proquest.com/lib/keris/detail.action?docID=4396375</t>
  </si>
  <si>
    <t>https://ebookcentral.proquest.com/lib/keris/detail.action?docID=4397555</t>
  </si>
  <si>
    <t>https://ebookcentral.proquest.com/lib/keris/detail.action?docID=4397585</t>
  </si>
  <si>
    <t>https://ebookcentral.proquest.com/lib/keris/detail.action?docID=4441487</t>
  </si>
  <si>
    <t>https://ebookcentral.proquest.com/lib/keris/detail.action?docID=4451986</t>
  </si>
  <si>
    <t>https://ebookcentral.proquest.com/lib/keris/detail.action?docID=4452084</t>
  </si>
  <si>
    <t>https://ebookcentral.proquest.com/lib/keris/detail.action?docID=4452165</t>
  </si>
  <si>
    <t>https://ebookcentral.proquest.com/lib/keris/detail.action?docID=4452173</t>
  </si>
  <si>
    <t>https://ebookcentral.proquest.com/lib/keris/detail.action?docID=4452196</t>
  </si>
  <si>
    <t>https://ebookcentral.proquest.com/lib/keris/detail.action?docID=4452239</t>
  </si>
  <si>
    <t>https://ebookcentral.proquest.com/lib/keris/detail.action?docID=4452240</t>
  </si>
  <si>
    <t>https://ebookcentral.proquest.com/lib/keris/detail.action?docID=4512166</t>
  </si>
  <si>
    <t>https://ebookcentral.proquest.com/lib/keris/detail.action?docID=4515718</t>
  </si>
  <si>
    <t>https://ebookcentral.proquest.com/lib/keris/detail.action?docID=4515721</t>
  </si>
  <si>
    <t>https://ebookcentral.proquest.com/lib/keris/detail.action?docID=4520122</t>
  </si>
  <si>
    <t>https://ebookcentral.proquest.com/lib/keris/detail.action?docID=4525874</t>
  </si>
  <si>
    <t>https://ebookcentral.proquest.com/lib/keris/detail.action?docID=4527732</t>
  </si>
  <si>
    <t>https://ebookcentral.proquest.com/lib/keris/detail.action?docID=4539724</t>
  </si>
  <si>
    <t>https://ebookcentral.proquest.com/lib/keris/detail.action?docID=4540504</t>
  </si>
  <si>
    <t>https://ebookcentral.proquest.com/lib/keris/detail.action?docID=4561849</t>
  </si>
  <si>
    <t>https://ebookcentral.proquest.com/lib/keris/detail.action?docID=4563532</t>
  </si>
  <si>
    <t>https://ebookcentral.proquest.com/lib/keris/detail.action?docID=4570679</t>
  </si>
  <si>
    <t>https://ebookcentral.proquest.com/lib/keris/detail.action?docID=4624993</t>
  </si>
  <si>
    <t>https://ebookcentral.proquest.com/lib/keris/detail.action?docID=4634666</t>
  </si>
  <si>
    <t>https://ebookcentral.proquest.com/lib/keris/detail.action?docID=4643545</t>
  </si>
  <si>
    <t>https://ebookcentral.proquest.com/lib/keris/detail.action?docID=4649525</t>
  </si>
  <si>
    <t>https://ebookcentral.proquest.com/lib/keris/detail.action?docID=4660454</t>
  </si>
  <si>
    <t>https://ebookcentral.proquest.com/lib/keris/detail.action?docID=4661498</t>
  </si>
  <si>
    <t>https://ebookcentral.proquest.com/lib/keris/detail.action?docID=4671975</t>
  </si>
  <si>
    <t>https://ebookcentral.proquest.com/lib/keris/detail.action?docID=4672841</t>
  </si>
  <si>
    <t>https://ebookcentral.proquest.com/lib/keris/detail.action?docID=4674267</t>
  </si>
  <si>
    <t>https://ebookcentral.proquest.com/lib/keris/detail.action?docID=4699805</t>
  </si>
  <si>
    <t>https://ebookcentral.proquest.com/lib/keris/detail.action?docID=4699938</t>
  </si>
  <si>
    <t>https://ebookcentral.proquest.com/lib/keris/detail.action?docID=4704492</t>
  </si>
  <si>
    <t>https://ebookcentral.proquest.com/lib/keris/detail.action?docID=4715158</t>
  </si>
  <si>
    <t>https://ebookcentral.proquest.com/lib/keris/detail.action?docID=4722557</t>
  </si>
  <si>
    <t>https://ebookcentral.proquest.com/lib/keris/detail.action?docID=4727838</t>
  </si>
  <si>
    <t>https://ebookcentral.proquest.com/lib/keris/detail.action?docID=4731143</t>
  </si>
  <si>
    <t>https://ebookcentral.proquest.com/lib/keris/detail.action?docID=4731914</t>
  </si>
  <si>
    <t>https://ebookcentral.proquest.com/lib/keris/detail.action?docID=4732310</t>
  </si>
  <si>
    <t>https://ebookcentral.proquest.com/lib/keris/detail.action?docID=4734083</t>
  </si>
  <si>
    <t>https://ebookcentral.proquest.com/lib/keris/detail.action?docID=4737083</t>
  </si>
  <si>
    <t>https://ebookcentral.proquest.com/lib/keris/detail.action?docID=4751054</t>
  </si>
  <si>
    <t>https://ebookcentral.proquest.com/lib/keris/detail.action?docID=4772292</t>
  </si>
  <si>
    <t>https://ebookcentral.proquest.com/lib/keris/detail.action?docID=4773885</t>
  </si>
  <si>
    <t>https://ebookcentral.proquest.com/lib/keris/detail.action?docID=4777260</t>
  </si>
  <si>
    <t>https://ebookcentral.proquest.com/lib/keris/detail.action?docID=4777309</t>
  </si>
  <si>
    <t>https://ebookcentral.proquest.com/lib/keris/detail.action?docID=4790419</t>
  </si>
  <si>
    <t>https://ebookcentral.proquest.com/lib/keris/detail.action?docID=4790483</t>
  </si>
  <si>
    <t>https://ebookcentral.proquest.com/lib/keris/detail.action?docID=4799455</t>
  </si>
  <si>
    <t>https://ebookcentral.proquest.com/lib/keris/detail.action?docID=4807025</t>
  </si>
  <si>
    <t>https://ebookcentral.proquest.com/lib/keris/detail.action?docID=4807035</t>
  </si>
  <si>
    <t>https://ebookcentral.proquest.com/lib/keris/detail.action?docID=4812552</t>
  </si>
  <si>
    <t>https://ebookcentral.proquest.com/lib/keris/detail.action?docID=4819724</t>
  </si>
  <si>
    <t>https://ebookcentral.proquest.com/lib/keris/detail.action?docID=4820205</t>
  </si>
  <si>
    <t>https://ebookcentral.proquest.com/lib/keris/detail.action?docID=4838367</t>
  </si>
  <si>
    <t>https://ebookcentral.proquest.com/lib/keris/detail.action?docID=4855360</t>
  </si>
  <si>
    <t>https://ebookcentral.proquest.com/lib/keris/detail.action?docID=4857936</t>
  </si>
  <si>
    <t>https://ebookcentral.proquest.com/lib/keris/detail.action?docID=4865227</t>
  </si>
  <si>
    <t>https://ebookcentral.proquest.com/lib/keris/detail.action?docID=4867986</t>
  </si>
  <si>
    <t>https://ebookcentral.proquest.com/lib/keris/detail.action?docID=4870992</t>
  </si>
  <si>
    <t>https://ebookcentral.proquest.com/lib/keris/detail.action?docID=4877395</t>
  </si>
  <si>
    <t>https://ebookcentral.proquest.com/lib/keris/detail.action?docID=4908623</t>
  </si>
  <si>
    <t>https://ebookcentral.proquest.com/lib/keris/detail.action?docID=4909986</t>
  </si>
  <si>
    <t>https://ebookcentral.proquest.com/lib/keris/detail.action?docID=4922989</t>
  </si>
  <si>
    <t>https://ebookcentral.proquest.com/lib/keris/detail.action?docID=4935583</t>
  </si>
  <si>
    <t>https://ebookcentral.proquest.com/lib/keris/detail.action?docID=4947022</t>
  </si>
  <si>
    <t>https://ebookcentral.proquest.com/lib/keris/detail.action?docID=4985939</t>
  </si>
  <si>
    <t>https://ebookcentral.proquest.com/lib/keris/detail.action?docID=5024420</t>
  </si>
  <si>
    <t>https://ebookcentral.proquest.com/lib/keris/detail.action?docID=5050640</t>
  </si>
  <si>
    <t>https://ebookcentral.proquest.com/lib/keris/detail.action?docID=5089203</t>
  </si>
  <si>
    <t>https://ebookcentral.proquest.com/lib/keris/detail.action?docID=5100745</t>
  </si>
  <si>
    <t>https://ebookcentral.proquest.com/lib/keris/detail.action?docID=5109501</t>
  </si>
  <si>
    <t>https://ebookcentral.proquest.com/lib/keris/detail.action?docID=5118016</t>
  </si>
  <si>
    <t>https://ebookcentral.proquest.com/lib/keris/detail.action?docID=5173463</t>
  </si>
  <si>
    <t>https://ebookcentral.proquest.com/lib/keris/detail.action?docID=5177862</t>
  </si>
  <si>
    <t>https://ebookcentral.proquest.com/lib/keris/detail.action?docID=5181124</t>
  </si>
  <si>
    <t>https://ebookcentral.proquest.com/lib/keris/detail.action?docID=5192499</t>
  </si>
  <si>
    <t>https://ebookcentral.proquest.com/lib/keris/detail.action?docID=5200569</t>
  </si>
  <si>
    <t>https://ebookcentral.proquest.com/lib/keris/detail.action?docID=5210525</t>
  </si>
  <si>
    <t>https://ebookcentral.proquest.com/lib/keris/detail.action?docID=5228949</t>
  </si>
  <si>
    <t>https://ebookcentral.proquest.com/lib/keris/detail.action?docID=5253404</t>
  </si>
  <si>
    <t>https://ebookcentral.proquest.com/lib/keris/detail.action?docID=5254211</t>
  </si>
  <si>
    <t>https://ebookcentral.proquest.com/lib/keris/detail.action?docID=5302460</t>
  </si>
  <si>
    <t>https://ebookcentral.proquest.com/lib/keris/detail.action?docID=5314390</t>
  </si>
  <si>
    <t>https://ebookcentral.proquest.com/lib/keris/detail.action?docID=5325559</t>
  </si>
  <si>
    <t>https://ebookcentral.proquest.com/lib/keris/detail.action?docID=5341451</t>
  </si>
  <si>
    <t>https://ebookcentral.proquest.com/lib/keris/detail.action?docID=5341452</t>
  </si>
  <si>
    <t>https://ebookcentral.proquest.com/lib/keris/detail.action?docID=5376681</t>
  </si>
  <si>
    <t>https://ebookcentral.proquest.com/lib/keris/detail.action?docID=5389943</t>
  </si>
  <si>
    <t>https://ebookcentral.proquest.com/lib/keris/detail.action?docID=5428255</t>
  </si>
  <si>
    <t>https://ebookcentral.proquest.com/lib/keris/detail.action?docID=5431172</t>
  </si>
  <si>
    <t>https://ebookcentral.proquest.com/lib/keris/detail.action?docID=5477619</t>
  </si>
  <si>
    <t>https://ebookcentral.proquest.com/lib/keris/detail.action?docID=5491663</t>
  </si>
  <si>
    <t>https://ebookcentral.proquest.com/lib/keris/detail.action?docID=5493342</t>
  </si>
  <si>
    <t>https://ebookcentral.proquest.com/lib/keris/detail.action?docID=5495393</t>
  </si>
  <si>
    <t>https://ebookcentral.proquest.com/lib/keris/detail.action?docID=5508330</t>
  </si>
  <si>
    <t>https://ebookcentral.proquest.com/lib/keris/detail.action?docID=5510768</t>
  </si>
  <si>
    <t>https://ebookcentral.proquest.com/lib/keris/detail.action?docID=5514687</t>
  </si>
  <si>
    <t>https://ebookcentral.proquest.com/lib/keris/detail.action?docID=5514703</t>
  </si>
  <si>
    <t>https://ebookcentral.proquest.com/lib/keris/detail.action?docID=5520094</t>
  </si>
  <si>
    <t>https://ebookcentral.proquest.com/lib/keris/detail.action?docID=5527144</t>
  </si>
  <si>
    <t>https://ebookcentral.proquest.com/lib/keris/detail.action?docID=5532024</t>
  </si>
  <si>
    <t>https://ebookcentral.proquest.com/lib/keris/detail.action?docID=5557357</t>
  </si>
  <si>
    <t>https://ebookcentral.proquest.com/lib/keris/detail.action?docID=5558997</t>
  </si>
  <si>
    <t>https://ebookcentral.proquest.com/lib/keris/detail.action?docID=5559990</t>
  </si>
  <si>
    <t>https://ebookcentral.proquest.com/lib/keris/detail.action?docID=5570569</t>
  </si>
  <si>
    <t>https://ebookcentral.proquest.com/lib/keris/detail.action?docID=5570713</t>
  </si>
  <si>
    <t>https://ebookcentral.proquest.com/lib/keris/detail.action?docID=5572294</t>
  </si>
  <si>
    <t>https://ebookcentral.proquest.com/lib/keris/detail.action?docID=5597645</t>
  </si>
  <si>
    <t>https://ebookcentral.proquest.com/lib/keris/detail.action?docID=5598089</t>
  </si>
  <si>
    <t>https://ebookcentral.proquest.com/lib/keris/detail.action?docID=5601822</t>
  </si>
  <si>
    <t>https://ebookcentral.proquest.com/lib/keris/detail.action?docID=5607591</t>
  </si>
  <si>
    <t>https://ebookcentral.proquest.com/lib/keris/detail.action?docID=5611101</t>
  </si>
  <si>
    <t>https://ebookcentral.proquest.com/lib/keris/detail.action?docID=5612823</t>
  </si>
  <si>
    <t>https://ebookcentral.proquest.com/lib/keris/detail.action?docID=5622413</t>
  </si>
  <si>
    <t>https://ebookcentral.proquest.com/lib/keris/detail.action?docID=5629289</t>
  </si>
  <si>
    <t>https://ebookcentral.proquest.com/lib/keris/detail.action?docID=5633090</t>
  </si>
  <si>
    <t>https://ebookcentral.proquest.com/lib/keris/detail.action?docID=5651713</t>
  </si>
  <si>
    <t>https://ebookcentral.proquest.com/lib/keris/detail.action?docID=5716556</t>
  </si>
  <si>
    <t>https://ebookcentral.proquest.com/lib/keris/detail.action?docID=5716560</t>
  </si>
  <si>
    <t>https://ebookcentral.proquest.com/lib/keris/detail.action?docID=5716777</t>
  </si>
  <si>
    <t>https://ebookcentral.proquest.com/lib/keris/detail.action?docID=5725505</t>
  </si>
  <si>
    <t>https://ebookcentral.proquest.com/lib/keris/detail.action?docID=5725512</t>
  </si>
  <si>
    <t>https://ebookcentral.proquest.com/lib/keris/detail.action?docID=5733106</t>
  </si>
  <si>
    <t>https://ebookcentral.proquest.com/lib/keris/detail.action?docID=5741463</t>
  </si>
  <si>
    <t>https://ebookcentral.proquest.com/lib/keris/detail.action?docID=5742367</t>
  </si>
  <si>
    <t>https://ebookcentral.proquest.com/lib/keris/detail.action?docID=5760529</t>
  </si>
  <si>
    <t>https://ebookcentral.proquest.com/lib/keris/detail.action?docID=5772346</t>
  </si>
  <si>
    <t>https://ebookcentral.proquest.com/lib/keris/detail.action?docID=5775660</t>
  </si>
  <si>
    <t>https://ebookcentral.proquest.com/lib/keris/detail.action?docID=5790645</t>
  </si>
  <si>
    <t>https://ebookcentral.proquest.com/lib/keris/detail.action?docID=5797077</t>
  </si>
  <si>
    <t>https://ebookcentral.proquest.com/lib/keris/detail.action?docID=5839403</t>
  </si>
  <si>
    <t>https://ebookcentral.proquest.com/lib/keris/detail.action?docID=5841221</t>
  </si>
  <si>
    <t>https://ebookcentral.proquest.com/lib/keris/detail.action?docID=5845651</t>
  </si>
  <si>
    <t>https://ebookcentral.proquest.com/lib/keris/detail.action?docID=5890287</t>
  </si>
  <si>
    <t>https://ebookcentral.proquest.com/lib/keris/detail.action?docID=5939409</t>
  </si>
  <si>
    <t>https://ebookcentral.proquest.com/lib/keris/detail.action?docID=5940276</t>
  </si>
  <si>
    <t>https://ebookcentral.proquest.com/lib/keris/detail.action?docID=5944633</t>
  </si>
  <si>
    <t>https://ebookcentral.proquest.com/lib/keris/detail.action?docID=5945871</t>
  </si>
  <si>
    <t>https://ebookcentral.proquest.com/lib/keris/detail.action?docID=5965808</t>
  </si>
  <si>
    <t>https://ebookcentral.proquest.com/lib/keris/detail.action?docID=5973423</t>
  </si>
  <si>
    <t>https://ebookcentral.proquest.com/lib/keris/detail.action?docID=5973894</t>
  </si>
  <si>
    <t>https://ebookcentral.proquest.com/lib/keris/detail.action?docID=5974329</t>
  </si>
  <si>
    <t>https://ebookcentral.proquest.com/lib/keris/detail.action?docID=5984596</t>
  </si>
  <si>
    <t>https://ebookcentral.proquest.com/lib/keris/detail.action?docID=6010908</t>
  </si>
  <si>
    <t>https://ebookcentral.proquest.com/lib/keris/detail.action?docID=6028653</t>
  </si>
  <si>
    <t>https://ebookcentral.proquest.com/lib/keris/detail.action?docID=6122292</t>
  </si>
  <si>
    <t>https://ebookcentral.proquest.com/lib/keris/detail.action?docID=6144144</t>
  </si>
  <si>
    <t>https://ebookcentral.proquest.com/lib/keris/detail.action?docID=6178487</t>
  </si>
  <si>
    <t>https://ebookcentral.proquest.com/lib/keris/detail.action?docID=6191271</t>
  </si>
  <si>
    <t>https://ebookcentral.proquest.com/lib/keris/detail.action?docID=6200064</t>
  </si>
  <si>
    <t>https://ebookcentral.proquest.com/lib/keris/detail.action?docID=6201912</t>
  </si>
  <si>
    <t>https://ebookcentral.proquest.com/lib/keris/detail.action?docID=6209024</t>
  </si>
  <si>
    <t>https://ebookcentral.proquest.com/lib/keris/detail.action?docID=6235158</t>
  </si>
  <si>
    <t>https://ebookcentral.proquest.com/lib/keris/detail.action?docID=6240630</t>
  </si>
  <si>
    <t>https://ebookcentral.proquest.com/lib/keris/detail.action?docID=6247808</t>
  </si>
  <si>
    <t>https://ebookcentral.proquest.com/lib/keris/detail.action?docID=6261157</t>
  </si>
  <si>
    <t>https://ebookcentral.proquest.com/lib/keris/detail.action?docID=6269761</t>
  </si>
  <si>
    <t>https://ebookcentral.proquest.com/lib/keris/detail.action?docID=6276021</t>
  </si>
  <si>
    <t>https://ebookcentral.proquest.com/lib/keris/detail.action?docID=6280628</t>
  </si>
  <si>
    <t>https://ebookcentral.proquest.com/lib/keris/detail.action?docID=6299727</t>
  </si>
  <si>
    <t>https://ebookcentral.proquest.com/lib/keris/detail.action?docID=6315964</t>
  </si>
  <si>
    <t>https://ebookcentral.proquest.com/lib/keris/detail.action?docID=6346387</t>
  </si>
  <si>
    <t>https://ebookcentral.proquest.com/lib/keris/detail.action?docID=6356773</t>
  </si>
  <si>
    <t>https://ebookcentral.proquest.com/lib/keris/detail.action?docID=6359635</t>
  </si>
  <si>
    <t>https://ebookcentral.proquest.com/lib/keris/detail.action?docID=6370349</t>
  </si>
  <si>
    <t>https://ebookcentral.proquest.com/lib/keris/detail.action?docID=6371697</t>
  </si>
  <si>
    <t>https://ebookcentral.proquest.com/lib/keris/detail.action?docID=6372569</t>
  </si>
  <si>
    <t>https://ebookcentral.proquest.com/lib/keris/detail.action?docID=6376600</t>
  </si>
  <si>
    <t>https://ebookcentral.proquest.com/lib/keris/detail.action?docID=6376668</t>
  </si>
  <si>
    <t>https://ebookcentral.proquest.com/lib/keris/detail.action?docID=6401997</t>
  </si>
  <si>
    <t>https://ebookcentral.proquest.com/lib/keris/detail.action?docID=6419872</t>
  </si>
  <si>
    <t>https://ebookcentral.proquest.com/lib/keris/detail.action?docID=6423285</t>
  </si>
  <si>
    <t>https://ebookcentral.proquest.com/lib/keris/detail.action?docID=6457977</t>
  </si>
  <si>
    <t>https://ebookcentral.proquest.com/lib/keris/detail.action?docID=6457981</t>
  </si>
  <si>
    <t>https://ebookcentral.proquest.com/lib/keris/detail.action?docID=6457985</t>
  </si>
  <si>
    <t>https://ebookcentral.proquest.com/lib/keris/detail.action?docID=6457989</t>
  </si>
  <si>
    <t>https://ebookcentral.proquest.com/lib/keris/detail.action?docID=6471514</t>
  </si>
  <si>
    <t>https://ebookcentral.proquest.com/lib/keris/detail.action?docID=6476814</t>
  </si>
  <si>
    <t>https://ebookcentral.proquest.com/lib/keris/detail.action?docID=6476877</t>
  </si>
  <si>
    <t>https://ebookcentral.proquest.com/lib/keris/detail.action?docID=6522967</t>
  </si>
  <si>
    <t>https://ebookcentral.proquest.com/lib/keris/detail.action?docID=6528153</t>
  </si>
  <si>
    <t>https://ebookcentral.proquest.com/lib/keris/detail.action?docID=6552362</t>
  </si>
  <si>
    <t>https://ebookcentral.proquest.com/lib/keris/detail.action?docID=6552365</t>
  </si>
  <si>
    <t>https://ebookcentral.proquest.com/lib/keris/detail.action?docID=6561639</t>
  </si>
  <si>
    <t>https://ebookcentral.proquest.com/lib/keris/detail.action?docID=6577130</t>
  </si>
  <si>
    <t>https://ebookcentral.proquest.com/lib/keris/detail.action?docID=6631755</t>
  </si>
  <si>
    <t>https://ebookcentral.proquest.com/lib/keris/detail.action?docID=6631784</t>
  </si>
  <si>
    <t>https://ebookcentral.proquest.com/lib/keris/detail.action?docID=6631789</t>
  </si>
  <si>
    <t>https://ebookcentral.proquest.com/lib/keris/detail.action?docID=6634846</t>
  </si>
  <si>
    <t>https://ebookcentral.proquest.com/lib/keris/detail.action?docID=6647706</t>
  </si>
  <si>
    <t>https://ebookcentral.proquest.com/lib/keris/detail.action?docID=6647707</t>
  </si>
  <si>
    <t>https://ebookcentral.proquest.com/lib/keris/detail.action?docID=6676915</t>
  </si>
  <si>
    <t>https://ebookcentral.proquest.com/lib/keris/detail.action?docID=6720711</t>
  </si>
  <si>
    <t>https://ebookcentral.proquest.com/lib/keris/detail.action?docID=6721223</t>
  </si>
  <si>
    <t>https://ebookcentral.proquest.com/lib/keris/detail.action?docID=6721939</t>
  </si>
  <si>
    <t>https://ebookcentral.proquest.com/lib/keris/detail.action?docID=6726560</t>
  </si>
  <si>
    <t>https://ebookcentral.proquest.com/lib/keris/detail.action?docID=6734999</t>
  </si>
  <si>
    <t>https://ebookcentral.proquest.com/lib/keris/detail.action?docID=6795419</t>
  </si>
  <si>
    <t>https://ebookcentral.proquest.com/lib/keris/detail.action?docID=6811430</t>
  </si>
  <si>
    <t>https://ebookcentral.proquest.com/lib/keris/detail.action?docID=6829394</t>
  </si>
  <si>
    <t>https://ebookcentral.proquest.com/lib/keris/detail.action?docID=6829395</t>
  </si>
  <si>
    <t>https://ebookcentral.proquest.com/lib/keris/detail.action?docID=6829406</t>
  </si>
  <si>
    <t>https://ebookcentral.proquest.com/lib/keris/detail.action?docID=6836738</t>
  </si>
  <si>
    <t>https://ebookcentral.proquest.com/lib/keris/detail.action?docID=6839716</t>
  </si>
  <si>
    <t>https://ebookcentral.proquest.com/lib/keris/detail.action?docID=6845783</t>
  </si>
  <si>
    <t>https://ebookcentral.proquest.com/lib/keris/detail.action?docID=6853758</t>
  </si>
  <si>
    <t>https://ebookcentral.proquest.com/lib/keris/detail.action?docID=6882225</t>
  </si>
  <si>
    <t>https://ebookcentral.proquest.com/lib/keris/detail.action?docID=6883805</t>
  </si>
  <si>
    <t>https://ebookcentral.proquest.com/lib/keris/detail.action?docID=6886016</t>
  </si>
  <si>
    <t>https://ebookcentral.proquest.com/lib/keris/detail.action?docID=6886447</t>
  </si>
  <si>
    <t>https://ebookcentral.proquest.com/lib/keris/detail.action?docID=6893968</t>
  </si>
  <si>
    <t>https://ebookcentral.proquest.com/lib/keris/detail.action?docID=6940562</t>
  </si>
  <si>
    <t>https://ebookcentral.proquest.com/lib/keris/detail.action?docID=6944050</t>
  </si>
  <si>
    <t>https://ebookcentral.proquest.com/lib/keris/detail.action?docID=6944053</t>
  </si>
  <si>
    <t>https://ebookcentral.proquest.com/lib/keris/detail.action?docID=6946289</t>
  </si>
  <si>
    <t>https://ebookcentral.proquest.com/lib/keris/detail.action?docID=6946290</t>
  </si>
  <si>
    <t>https://ebookcentral.proquest.com/lib/keris/detail.action?docID=6946295</t>
  </si>
  <si>
    <t>https://ebookcentral.proquest.com/lib/keris/detail.action?docID=6965357</t>
  </si>
  <si>
    <t>https://ebookcentral.proquest.com/lib/keris/detail.action?docID=6984922</t>
  </si>
  <si>
    <t>https://ebookcentral.proquest.com/lib/keris/detail.action?docID=7000982</t>
  </si>
  <si>
    <t>https://ebookcentral.proquest.com/lib/keris/detail.action?docID=7020729</t>
  </si>
  <si>
    <t>https://ebookcentral.proquest.com/lib/keris/detail.action?docID=7069072</t>
  </si>
  <si>
    <t>https://ebookcentral.proquest.com/lib/keris/detail.action?docID=7087546</t>
  </si>
  <si>
    <t>https://ebookcentral.proquest.com/lib/keris/detail.action?docID=7165367</t>
  </si>
  <si>
    <t>https://ebookcentral.proquest.com/lib/keris/detail.action?docID=7171367</t>
  </si>
  <si>
    <t>https://ebookcentral.proquest.com/lib/keris/detail.action?docID=7301093</t>
  </si>
  <si>
    <t>https://ebookcentral.proquest.com/lib/keris/detail.action?docID=7425549</t>
  </si>
  <si>
    <t>https://ebookcentral.proquest.com/lib/keris/detail.action?docID=29387109</t>
  </si>
  <si>
    <t>https://ebookcentral.proquest.com/lib/keris/detail.action?docID=29731830</t>
  </si>
  <si>
    <t>https://ebookcentral.proquest.com/lib/keris/detail.action?docID=29731865</t>
  </si>
  <si>
    <t>https://ebookcentral.proquest.com/lib/keris/detail.action?docID=30256372</t>
  </si>
  <si>
    <t>https://ebookcentral.proquest.com/lib/keris/detail.action?docID=30256413</t>
  </si>
  <si>
    <t>https://ebookcentral.proquest.com/lib/keris/detail.action?docID=30280362</t>
  </si>
  <si>
    <t>https://ebookcentral.proquest.com/lib/keris/detail.action?docID=30296689</t>
  </si>
  <si>
    <t>https://ebookcentral.proquest.com/lib/keris/detail.action?docID=30297626</t>
  </si>
  <si>
    <t>https://ebookcentral.proquest.com/lib/keris/detail.action?docID=30372744</t>
  </si>
  <si>
    <t>https://ebookcentral.proquest.com/lib/keris/detail.action?docID=30373917</t>
  </si>
  <si>
    <t>https://ebookcentral.proquest.com/lib/keris/detail.action?docID=30373945</t>
  </si>
  <si>
    <t>https://ebookcentral.proquest.com/lib/keris/detail.action?docID=30395522</t>
  </si>
  <si>
    <t>https://ebookcentral.proquest.com/lib/keris/detail.action?docID=30674449</t>
  </si>
  <si>
    <t>https://ebookcentral.proquest.com/lib/keris/detail.action?docID=30728286</t>
  </si>
  <si>
    <t>https://ebookcentral.proquest.com/lib/keris/detail.action?docID=30749761</t>
  </si>
  <si>
    <t>https://ebookcentral.proquest.com/lib/keris/detail.action?docID=30749772</t>
  </si>
  <si>
    <t>https://ebookcentral.proquest.com/lib/keris/detail.action?docID=30808599</t>
  </si>
  <si>
    <t>https://ebookcentral.proquest.com/lib/keris/detail.action?docID=30808808</t>
  </si>
  <si>
    <t>https://ebookcentral.proquest.com/lib/keris/detail.action?docID=30867495</t>
  </si>
  <si>
    <t>https://ebookcentral.proquest.com/lib/keris/detail.action?docID=30974045</t>
  </si>
  <si>
    <t>https://ebookcentral.proquest.com/lib/keris/detail.action?docID=31020316</t>
  </si>
  <si>
    <t>https://ebookcentral.proquest.com/lib/keris/detail.action?docID=31022953</t>
  </si>
  <si>
    <t>https://ebookcentral.proquest.com/lib/keris/detail.action?docID=31339553</t>
  </si>
  <si>
    <t>https://ebookcentral.proquest.com/lib/keris/detail.action?docID=31553704</t>
  </si>
  <si>
    <t>https://ebookcentral.proquest.com/lib/keris/detail.action?docID=31581725</t>
  </si>
  <si>
    <t>https://ebookcentral.proquest.com/lib/keris/detail.action?docID=31591934</t>
  </si>
  <si>
    <t>https://ebookcentral.proquest.com/lib/keris/detail.action?docID=31608432</t>
  </si>
  <si>
    <t>https://ebookcentral.proquest.com/lib/keris/detail.action?docID=31648970</t>
  </si>
  <si>
    <t>https://ebookcentral.proquest.com/lib/keris/detail.action?docID=31888869</t>
  </si>
  <si>
    <t>https://ebookcentral.proquest.com/lib/keris/detail.action?docID=31978504</t>
  </si>
  <si>
    <t>The Spenser Encyclopedia</t>
  </si>
  <si>
    <t>The Shakespeare Name Dictionary</t>
  </si>
  <si>
    <t>The Blackwell Handbook of Global Management : A Guide to Managing Complexity</t>
  </si>
  <si>
    <t>Musical Performance : A Guide to Understanding</t>
  </si>
  <si>
    <t>Urban Insects and Arachnids : A Handbook of Urban Entomology</t>
  </si>
  <si>
    <t>The Blackwell Handbook of Personnel Selection</t>
  </si>
  <si>
    <t>Archaeology in Practice : A Student Guide to Archaeological Analyses</t>
  </si>
  <si>
    <t>The Cambridge Handbook of Age and Ageing</t>
  </si>
  <si>
    <t>The Cambridge Mozart Encyclopedia</t>
  </si>
  <si>
    <t>The International Handbook of Creativity</t>
  </si>
  <si>
    <t>A Walk Through the Heavens : A Guide to Stars and Constellations and Their Legends</t>
  </si>
  <si>
    <t>The Encyclopedia of Contemporary Japanese Culture</t>
  </si>
  <si>
    <t>A Handbook of Wisdom : Psychological Perspectives</t>
  </si>
  <si>
    <t>Dictionary of Applied Math for Engineers and Scientists</t>
  </si>
  <si>
    <t>Elsevier's Dictionary of Art History Terms : French/English-English/French</t>
  </si>
  <si>
    <t>The Cambridge Dictionary of Statistics</t>
  </si>
  <si>
    <t>A Companion to the Hellenistic World</t>
  </si>
  <si>
    <t>A Brief History of Spirituality</t>
  </si>
  <si>
    <t>A Companion to Contemporary Art Since 1945</t>
  </si>
  <si>
    <t>An Introduction to the Standard Model of Particle Physics</t>
  </si>
  <si>
    <t>The Cambridge Introduction to Emily Dickinson</t>
  </si>
  <si>
    <t>The Cambridge Introduction to Ezra Pound</t>
  </si>
  <si>
    <t>The Cambridge Introduction to F. Scott Fitzgerald</t>
  </si>
  <si>
    <t>The Cambridge Introduction to Harriet Beecher Stowe</t>
  </si>
  <si>
    <t>The Cambridge Introduction to Herman Melville</t>
  </si>
  <si>
    <t>The Cambridge Introduction to Mark Twain</t>
  </si>
  <si>
    <t>The Cambridge Introduction to Nathaniel Hawthorne</t>
  </si>
  <si>
    <t>The Cambridge Introduction to Shakespeare</t>
  </si>
  <si>
    <t>The Cambridge Introduction to Shakespeare's Tragedies</t>
  </si>
  <si>
    <t>The Cambridge Introduction to Walt Whitman</t>
  </si>
  <si>
    <t>An Illustrated Brief History of Western Philosophy</t>
  </si>
  <si>
    <t>A Companion to Ancient Philosophy</t>
  </si>
  <si>
    <t>A Handbook of Leisure Studies</t>
  </si>
  <si>
    <t>Handbook of Liaison Psychiatry</t>
  </si>
  <si>
    <t>Cambridge Handbook of Psychology, Health and Medicine</t>
  </si>
  <si>
    <t>The Cambridge Handbook of Consciousness</t>
  </si>
  <si>
    <t>Observing the Moon : The Modern Astronomer's Guide</t>
  </si>
  <si>
    <t>A Companion to Contemporary Political Philosophy</t>
  </si>
  <si>
    <t>A Companion to Latina/o Studies</t>
  </si>
  <si>
    <t>The Cambridge Introduction to Samuel Beckett</t>
  </si>
  <si>
    <t>Pocket Guide for Cutaneous Medicine and Surgery</t>
  </si>
  <si>
    <t>Manual of Emergency and Critical Care Ultrasound</t>
  </si>
  <si>
    <t>International Focus Group Research : A Handbook for the Health and Social Sciences</t>
  </si>
  <si>
    <t>The Cambridge Introduction to Francophone Literature</t>
  </si>
  <si>
    <t>Learning Medicine : How to Become and Remain a Good Doctor</t>
  </si>
  <si>
    <t>The a-Z of Social Research : A Dictionary of Key Social Science Research Concepts</t>
  </si>
  <si>
    <t>The SAGE Dictionary of Sociology</t>
  </si>
  <si>
    <t>Teledermatology : A User's Guide</t>
  </si>
  <si>
    <t>Operating Department Practice A-Z</t>
  </si>
  <si>
    <t>The Cambridge Introduction to Modern Irish Poetry, 1800-2000</t>
  </si>
  <si>
    <t>The Cambridge Introduction to George Eliot</t>
  </si>
  <si>
    <t>The Cambridge Introduction to William Faulkner</t>
  </si>
  <si>
    <t>The Cambridge Introduction to Shakespeare's Comedies</t>
  </si>
  <si>
    <t>An Introduction to Genetic Engineering</t>
  </si>
  <si>
    <t>A-Z of Musculoskeletal and Trauma Radiology</t>
  </si>
  <si>
    <t>Introduction to Quantum Theory</t>
  </si>
  <si>
    <t>A Companion to the American Revolution</t>
  </si>
  <si>
    <t>The Cambridge Introduction to Russian Literature</t>
  </si>
  <si>
    <t>Interpretation of Emergency Head CT : A Practical Handbook</t>
  </si>
  <si>
    <t>Pediatric and Adolescent Psychopharmacology : A Practical Manual for Pediatricians</t>
  </si>
  <si>
    <t>Essential Psychiatry</t>
  </si>
  <si>
    <t>The Cambridge Introduction to Robert Frost</t>
  </si>
  <si>
    <t>The Cambridge Introduction to Zora Neale Hurston</t>
  </si>
  <si>
    <t>The Cambridge Introduction to Edgar Allan Poe</t>
  </si>
  <si>
    <t>The Cambridge Introduction to Michel Foucault</t>
  </si>
  <si>
    <t>The Cambridge Introduction to Walter Benjamin</t>
  </si>
  <si>
    <t>The Cambridge Introduction to Sylvia Plath</t>
  </si>
  <si>
    <t>Glossary of Labour Law and Industrial Relations</t>
  </si>
  <si>
    <t>My First Britannica : Volumes 1 - 13</t>
  </si>
  <si>
    <t>The Encyclopedia of Psychological Trauma</t>
  </si>
  <si>
    <t>The Cambridge Handbook of Metaphor and Thought</t>
  </si>
  <si>
    <t>Introduction to Bronchoscopy</t>
  </si>
  <si>
    <t>Essential Clinical Immunology</t>
  </si>
  <si>
    <t>A-Z of Abdominal Radiology</t>
  </si>
  <si>
    <t>The Cambridge Introduction to the Nineteenth-Century American Novel</t>
  </si>
  <si>
    <t>The Names of Plants</t>
  </si>
  <si>
    <t>A Companion to the British and Irish Short Story</t>
  </si>
  <si>
    <t>Handbook of Sports Medicine and Science : Sport Psychology</t>
  </si>
  <si>
    <t>The New Blackwell Companion to Social Theory</t>
  </si>
  <si>
    <t>The Cambridge Double Star Atlas</t>
  </si>
  <si>
    <t>The Cambridge Handbook of Literacy</t>
  </si>
  <si>
    <t>The Cambridge Introduction to Jacques Derrida</t>
  </si>
  <si>
    <t>The Cambridge Introduction to the Short Story in English</t>
  </si>
  <si>
    <t>The Cambridge Introduction to Postcolonial Literatures in English</t>
  </si>
  <si>
    <t>Event Planning : The Ultimate Guide to Successful Meetings, Corporate Events, Fundraising Galas, Conferences, Conventions, Incentives and Other Special Events</t>
  </si>
  <si>
    <t>The Complete Guide to Fundraising Management</t>
  </si>
  <si>
    <t>Blackwell's Concise Encyclopedia of Environmental Management</t>
  </si>
  <si>
    <t>A Companion to Russian History</t>
  </si>
  <si>
    <t>A Companion to Metaphysics</t>
  </si>
  <si>
    <t>Manual of Stem Cell and Bone Marrow Transplantation</t>
  </si>
  <si>
    <t>The Cambridge Introduction to J. M. Coetzee</t>
  </si>
  <si>
    <t>The Cambridge Introduction to Jean Rhys</t>
  </si>
  <si>
    <t>Hospital Surgery : Foundations in Surgical Practice</t>
  </si>
  <si>
    <t>Essentials of Business Ethics : Creating an Organization of High Integrity and Superior Performance</t>
  </si>
  <si>
    <t>Nonprofit Bookkeeping and Accounting for Dummies</t>
  </si>
  <si>
    <t>The International Encyclopedia of Depression</t>
  </si>
  <si>
    <t>The Handbook of Pidgin and Creole Studies</t>
  </si>
  <si>
    <t>A Companion to Ovid</t>
  </si>
  <si>
    <t>The Encyclopedia of Positive Psychology</t>
  </si>
  <si>
    <t>Personal Recovery and Mental Illness : A Guide for Mental Health Professionals</t>
  </si>
  <si>
    <t>The SAGE Dictionary of Sports Studies</t>
  </si>
  <si>
    <t>Tools for Teaching</t>
  </si>
  <si>
    <t>A Probability and Statistics Companion</t>
  </si>
  <si>
    <t>The Corporate Culture Survival Guide</t>
  </si>
  <si>
    <t>The Handbook of East Asian Psycholinguistics: Volume 3, Korean</t>
  </si>
  <si>
    <t>Mathematics for Physics : A Guided Tour for Graduate Students</t>
  </si>
  <si>
    <t>The Cambridge Handbook of Personality Psychology</t>
  </si>
  <si>
    <t>Handbook of Psychology of Investigative Interviewing : Current Developments and Future Directions</t>
  </si>
  <si>
    <t>The Handbook of Language Teaching</t>
  </si>
  <si>
    <t>Encyclopedia of Ecology and Environmental Management</t>
  </si>
  <si>
    <t>Wiley Guide to Chemical Incompatibilities</t>
  </si>
  <si>
    <t>A Companion to American Military History</t>
  </si>
  <si>
    <t>The Cambridge Dictionary of Psychology</t>
  </si>
  <si>
    <t>Manual of Intrauterine Insemination and Ovulation Induction</t>
  </si>
  <si>
    <t>Medication Safety : An Essential Guide</t>
  </si>
  <si>
    <t>The Cambridge Introduction to Postmodern Fiction</t>
  </si>
  <si>
    <t>Handbook of Women's Health</t>
  </si>
  <si>
    <t>The SAGE Companion to the City</t>
  </si>
  <si>
    <t>Arabic-English Dictionary of Qurʾanic Usage</t>
  </si>
  <si>
    <t>Fifty Years of Philosophy of Religion: a Select Bibliography (1955-2005)</t>
  </si>
  <si>
    <t>Critical Companion to Contemporary Marxism</t>
  </si>
  <si>
    <t>The Carian Language</t>
  </si>
  <si>
    <t>Lexicon of Human Rights / les définitions des Droits de L'Homme</t>
  </si>
  <si>
    <t>The Handbook of Career Advising</t>
  </si>
  <si>
    <t>Handbook for Developing Emotional and Social Intelligence : Best Practices, Case Studies, and Strategies</t>
  </si>
  <si>
    <t>The Essential College Professor : A Practical Guide to an Academic Career</t>
  </si>
  <si>
    <t>The CompleteLandlord. com Ultimate Property Management Handbook</t>
  </si>
  <si>
    <t>Building Law Encyclopaedia</t>
  </si>
  <si>
    <t>International Handbook of Work and Health Psychology</t>
  </si>
  <si>
    <t>A Companion to Latin American Literature and Culture</t>
  </si>
  <si>
    <t>The Child : An Encyclopedic Companion</t>
  </si>
  <si>
    <t>Law and the Humanities : An Introduction</t>
  </si>
  <si>
    <t>A Handbook for the Study of Mental Health : Social Contexts, Theories, and Systems</t>
  </si>
  <si>
    <t>The Handbook of Global Outsourcing and Offshoring</t>
  </si>
  <si>
    <t>A Companion to Epistemology</t>
  </si>
  <si>
    <t>Handbook of Personality and Self-Regulation</t>
  </si>
  <si>
    <t>A Companion to Philosophy of Religion</t>
  </si>
  <si>
    <t>A Companion to Crime Fiction</t>
  </si>
  <si>
    <t>The Blackwell Companion to the Economics of Housing : The Housing Wealth of Nations</t>
  </si>
  <si>
    <t>The Blackwell Companion to the New Testament</t>
  </si>
  <si>
    <t>A Companion to Tudor Literature</t>
  </si>
  <si>
    <t>A Companion to Twentieth-Century United States Fiction</t>
  </si>
  <si>
    <t>Environmental Sciences : A Student′s Companion</t>
  </si>
  <si>
    <t>2010 Britannica Student Encyclopedia</t>
  </si>
  <si>
    <t>The Palgrave Handbook of Childhood Studies</t>
  </si>
  <si>
    <t>A Companion to Horace</t>
  </si>
  <si>
    <t>A Companion to Byzantium</t>
  </si>
  <si>
    <t>Bullying Prevention for Schools : A Step-By-Step Guide to Implementing a Successful Anti-Bullying Program</t>
  </si>
  <si>
    <t>A Companion to the American Short Story</t>
  </si>
  <si>
    <t>A New Companion to English Renaissance Literature and Culture</t>
  </si>
  <si>
    <t>A Companion to American Literature and Culture</t>
  </si>
  <si>
    <t>A Concise Companion to American Studies</t>
  </si>
  <si>
    <t>Ecology</t>
  </si>
  <si>
    <t>Environment : The Environment</t>
  </si>
  <si>
    <t>Essentials of Response to Intervention</t>
  </si>
  <si>
    <t>Sociology for Dummies</t>
  </si>
  <si>
    <t>Handbook of Jealousy : Theory, Research, and Multidisciplinary Approaches</t>
  </si>
  <si>
    <t>A Companion to the Philosophy of Action</t>
  </si>
  <si>
    <t>The New Blackwell Companion to the Sociology of Religion</t>
  </si>
  <si>
    <t>The Obstetric Hematology Manual</t>
  </si>
  <si>
    <t>Evaluating Clinical and Public Health Interventions : A Practical Guide to Study Design and Statistics</t>
  </si>
  <si>
    <t>A Practical Guide to International Philanthropy</t>
  </si>
  <si>
    <t>An Introduction to Kant's Moral Philosophy</t>
  </si>
  <si>
    <t>Cormac Mccarthy : A Literary Companion</t>
  </si>
  <si>
    <t>Encyclopedia of Reincarnation and Karma</t>
  </si>
  <si>
    <t>Essentials of Forensic Psychological Assessment</t>
  </si>
  <si>
    <t>Genetics for Dummies</t>
  </si>
  <si>
    <t>The Blackwell Companion to Religion in America</t>
  </si>
  <si>
    <t>A Companion to Biological Anthropology</t>
  </si>
  <si>
    <t>The Cambridge Handbook of Forensic Psychology</t>
  </si>
  <si>
    <t>Spanish Essentials for Dummies</t>
  </si>
  <si>
    <t>A Dictionary of Cultural and Critical Theory</t>
  </si>
  <si>
    <t>The Handbook of Race and Adult Education : A Resource for Dialogue on Racism</t>
  </si>
  <si>
    <t>The Shaping School Culture Fieldbook</t>
  </si>
  <si>
    <t>Legal Executions in the Western Territories, 1847-1911 : Arizona, Colorado, Idaho, Kansas, Montana, Nebraska, Nevada, New Mexico, North Dakota, Oklahoma, Oregon, South Dakota, Utah, Washington and Wyoming</t>
  </si>
  <si>
    <t>Business Innovation for Dummies</t>
  </si>
  <si>
    <t>Headache</t>
  </si>
  <si>
    <t>Wittgenstein's Philosophical Investigations : A Critical Guide</t>
  </si>
  <si>
    <t>An Introduction to Ethics</t>
  </si>
  <si>
    <t>Anxiety Disorders in Adults a Clinical Guide</t>
  </si>
  <si>
    <t>ISO27000 and Information Security : A Combined Glossary</t>
  </si>
  <si>
    <t>Dictionary of Sports and Games Terminology</t>
  </si>
  <si>
    <t>International Libel and Privacy Handbook : A Global Reference for Journalists, Publishers, Webmasters, and Lawyers</t>
  </si>
  <si>
    <t>Handbook of Iron Overload Disorders</t>
  </si>
  <si>
    <t>An Introduction to Plant Structure and Development : Plant Anatomy for the Twenty-First Century</t>
  </si>
  <si>
    <t>Handbook of Fetal Medicine</t>
  </si>
  <si>
    <t>Working with Deaf People : A Handbook for Healthcare Professionals</t>
  </si>
  <si>
    <t>A Companion to Latin American Philosophy</t>
  </si>
  <si>
    <t>Handbook of Multicultural Counseling Competencies</t>
  </si>
  <si>
    <t>The World from 1450 To 1700</t>
  </si>
  <si>
    <t>The Handbook of Leadership and Professional Learning Communities</t>
  </si>
  <si>
    <t>Black American Biographies : The Journey of Achievement</t>
  </si>
  <si>
    <t>The Cambridge Introduction to Margaret Atwood</t>
  </si>
  <si>
    <t>The Cambridge Introduction to William Wordsworth</t>
  </si>
  <si>
    <t>Essential Tools for Management Consulting : Tools, Models and Approaches for Clients and Consultants</t>
  </si>
  <si>
    <t>Essential Tools for Operations Management : Tools, Models and Approaches for Managers and Consultants</t>
  </si>
  <si>
    <t>The Essential Management Toolbox : Tools, Models and Notes for Managers and Consultants</t>
  </si>
  <si>
    <t>Oxford American Handbook of Cardiology</t>
  </si>
  <si>
    <t>Dictionary of Pseudonyms : 13,000 Assumed Names and Their Origins, 5th Ed</t>
  </si>
  <si>
    <t>The Caucasus : An Introduction</t>
  </si>
  <si>
    <t>Clinical Manual of Emergency Pediatrics</t>
  </si>
  <si>
    <t>The Cambridge Introduction to the Old Norse-Icelandic Saga</t>
  </si>
  <si>
    <t>The Subfertility Handbook : A Clinician's Guide</t>
  </si>
  <si>
    <t>The Cambridge Introduction to Chekhov</t>
  </si>
  <si>
    <t>The Cambridge Introduction to the Novel</t>
  </si>
  <si>
    <t>The Cambridge Introduction to Shakespeare's Poetry</t>
  </si>
  <si>
    <t>The Elementary / Middle School Counselor's Survival Guide</t>
  </si>
  <si>
    <t>A Dictionary of Confusable Phrases : More Than 10,000 Idioms and Collocations</t>
  </si>
  <si>
    <t>Manual of Inpatient Psychiatry</t>
  </si>
  <si>
    <t>Foundations of Psychiatric Sleep Medicine</t>
  </si>
  <si>
    <t>The Cambridge Introduction to Literature and the Environment</t>
  </si>
  <si>
    <t>The Essential Guide to Effect Sizes : Statistical Power, Meta-Analysis, and the Interpretation of Research Results</t>
  </si>
  <si>
    <t>Rats, Bats, and Xenarthrans</t>
  </si>
  <si>
    <t>The Handbook of Stress Science : Biology, Psychology, and Health</t>
  </si>
  <si>
    <t>The Psychologist's Companion : A Guide to Writing Scientific Papers for Students and Researchers</t>
  </si>
  <si>
    <t>An Introduction to Star Formation</t>
  </si>
  <si>
    <t>Biomes and Ecosystems</t>
  </si>
  <si>
    <t>Carnivores : Meat-Eating Mammals</t>
  </si>
  <si>
    <t>Persian Gulf States : Kuwait, Qatar, Bahrain, Oman, and the United Arab Emirates</t>
  </si>
  <si>
    <t>Primates</t>
  </si>
  <si>
    <t>Discipline Survival Guide for the Secondary Teacher</t>
  </si>
  <si>
    <t>Handbook of Sports Medicine and Science : The Paralympic Athlete</t>
  </si>
  <si>
    <t>The Concise Encyclopedia of Sociology</t>
  </si>
  <si>
    <t>A Companion to Ancient Macedonia</t>
  </si>
  <si>
    <t>The Encyclopedia of Eastern Orthodox Christianity</t>
  </si>
  <si>
    <t>Space Exploration</t>
  </si>
  <si>
    <t>World Exploration From Ancient Times</t>
  </si>
  <si>
    <t>A Concise Encyclopedia of the United Nations : Second Revised Edition</t>
  </si>
  <si>
    <t>Writing Essays for Dummies, UK Edition</t>
  </si>
  <si>
    <t>A Companion to the Punic Wars</t>
  </si>
  <si>
    <t>Introduction to the Science of Medical Imaging</t>
  </si>
  <si>
    <t>Essentials of Intellectual Property : Law, Economics, and Strategy</t>
  </si>
  <si>
    <t>The CSI Construction Contract Administration Practice Guide</t>
  </si>
  <si>
    <t>The Handbook for Student Leadership Development</t>
  </si>
  <si>
    <t>British History for Dummies</t>
  </si>
  <si>
    <t>A Companion to the Anthropology of India</t>
  </si>
  <si>
    <t>The Handbook of Hispanic Sociolinguistics</t>
  </si>
  <si>
    <t>Every Day of the Civil War : A Chronological Encyclopedia</t>
  </si>
  <si>
    <t>Arthurian Figures of History and Legend : A Biographical Dictionary</t>
  </si>
  <si>
    <t>Legal Executions after Statehood in North Dakota, South Dakota, Wyoming, Montana, Idaho, Washington and Oregon : A Comprehensive Registry</t>
  </si>
  <si>
    <t>Classic Asian Philosophy : A Guide to the Essential Texts</t>
  </si>
  <si>
    <t>Oxford American Mini-Handbook of Gastrointestinal Cancers</t>
  </si>
  <si>
    <t>The Cambridge Dictionary of Christianity</t>
  </si>
  <si>
    <t>A Companion to Social Geography</t>
  </si>
  <si>
    <t>A Companion to Cognitive Anthropology</t>
  </si>
  <si>
    <t>The Wiley-Blackwell Handbook of Individual Differences</t>
  </si>
  <si>
    <t>IAAP Handbook of Applied Psychology</t>
  </si>
  <si>
    <t>The Wiley-Blackwell Companion to Human Geography</t>
  </si>
  <si>
    <t>The Blackwell Companion to Christian Ethics</t>
  </si>
  <si>
    <t>Bookkeeping Essentials : How to Succeed As a Bookkeeper</t>
  </si>
  <si>
    <t>Handbook of Practical Medical Terms (English Chinese)</t>
  </si>
  <si>
    <t>Slave Narratives after Slavery</t>
  </si>
  <si>
    <t>A ^AHistory of the Supreme Court</t>
  </si>
  <si>
    <t>Legal Executions in Tennessee : A Comprehensive Registry, 1782-2009</t>
  </si>
  <si>
    <t>Edward Hopper Encyclopedia</t>
  </si>
  <si>
    <t>The Halloween Encyclopedia, 2d Ed</t>
  </si>
  <si>
    <t>The Animated Film Encyclopedia : A Complete Guide to American Shorts, Features and Sequences, 1900-1999, 2d Ed</t>
  </si>
  <si>
    <t>Stephen King : A Literary Companion</t>
  </si>
  <si>
    <t>Bioethics Around the Globe</t>
  </si>
  <si>
    <t>The SAGE Dictionary of Quantitative Management Research</t>
  </si>
  <si>
    <t>A Companion to Asian Art and Architecture</t>
  </si>
  <si>
    <t>The Quantum Story : A History in 40 Moments</t>
  </si>
  <si>
    <t>Handbook of Health Social Work</t>
  </si>
  <si>
    <t>International Handbook of Suicide Prevention : Research, Policy and Practice</t>
  </si>
  <si>
    <t>Wiley-Blackwell Encyclopedia of Human Evolution</t>
  </si>
  <si>
    <t>The Blackwell Companion to Religion and Violence</t>
  </si>
  <si>
    <t>The Encyclopedia of the Novel</t>
  </si>
  <si>
    <t>The Blackwell Companion to Paul</t>
  </si>
  <si>
    <t>The Handbook of Scholarly Writing and Publishing</t>
  </si>
  <si>
    <t>The English Teacher's Survival Guide : Ready-To-Use Techniques and Materials for Grades 7-12</t>
  </si>
  <si>
    <t>Writing a Dissertation for Dummies, UK Edition</t>
  </si>
  <si>
    <t>Epilepsy</t>
  </si>
  <si>
    <t>Handbook of the Syllable</t>
  </si>
  <si>
    <t>The Britannica Guide to Basketball : Britannica Guide to Basketball</t>
  </si>
  <si>
    <t>Rocks : Landforms, Minerals, and Rocks: Rocks</t>
  </si>
  <si>
    <t>On What Matters : Volume One</t>
  </si>
  <si>
    <t>On What Matters : Volume Two</t>
  </si>
  <si>
    <t>Autism Spectrum Disorder</t>
  </si>
  <si>
    <t>Handbook On Business Information Systems</t>
  </si>
  <si>
    <t>Britannica Enciclopedia Moderna</t>
  </si>
  <si>
    <t>Oxford American Handbook of Clinical Examination and Practical Skills</t>
  </si>
  <si>
    <t>Radioactivity : A History of a Mysterious Science</t>
  </si>
  <si>
    <t>Mexico : What Everyone Needs to Know®</t>
  </si>
  <si>
    <t>Downs : The History of a Disability</t>
  </si>
  <si>
    <t>William Gibson : A Literary Companion</t>
  </si>
  <si>
    <t>Heinlein's Juvenile Novels : A Cultural Dictionary</t>
  </si>
  <si>
    <t>Antarctica : An Encyclopedia</t>
  </si>
  <si>
    <t>The Handbook of Touch : Neuroscience, Behavioral, and Health Perspectives</t>
  </si>
  <si>
    <t>Religion in American Life : A Short History</t>
  </si>
  <si>
    <t>Handbook of Motivational Counseling : Goal-Based Approaches to Assessment and Intervention with Addiction and Other Problems</t>
  </si>
  <si>
    <t>A Companion to T. S. Eliot</t>
  </si>
  <si>
    <t>The Handbook of Internet Studies</t>
  </si>
  <si>
    <t>Legal Executions after Statehood in Arizona, Colorado, Nevada, New Mexico and Utah : A Comprehensive Registry</t>
  </si>
  <si>
    <t>Handbook of Life-Span Development</t>
  </si>
  <si>
    <t>The Endocrine System : Endocrine System</t>
  </si>
  <si>
    <t>The Encyclopedia of Neuropsychological Disorders</t>
  </si>
  <si>
    <t>Encyclopedia of Television Shows, 1925 Through 2010, 2d Ed</t>
  </si>
  <si>
    <t>Surnames, DNA, and Family History</t>
  </si>
  <si>
    <t>Religion and Human Rights : An Introduction</t>
  </si>
  <si>
    <t>Handbook of Child and Adolescent Drug and Substance Abuse : Pharmacological, Developmental, and Clinical Considerations</t>
  </si>
  <si>
    <t>The Essential Department Chair : A Comprehensive Desk Reference</t>
  </si>
  <si>
    <t>The Encyclopedia of Human Resource Management, Volume 1 : Short Entries</t>
  </si>
  <si>
    <t>The Encyclopedia of Human Resource Management, Volume 2 : HR Forms and Job Aids</t>
  </si>
  <si>
    <t>Dictionary of Developmental Biology and Embryology</t>
  </si>
  <si>
    <t>The Social Media Handbook : Rules, Policies, and Best Practices to Successfully Manage Your Organization's Social Media Presence, Posts, and Potential</t>
  </si>
  <si>
    <t>Wind Energy Handbook</t>
  </si>
  <si>
    <t>Food Additives Data Book</t>
  </si>
  <si>
    <t>A Companion to Nietzsche</t>
  </si>
  <si>
    <t>A Companion to Phenomenology and Existentialism</t>
  </si>
  <si>
    <t>A Companion to the History of the Book</t>
  </si>
  <si>
    <t>The Blackwell Handbook of Early Childhood Development</t>
  </si>
  <si>
    <t>A Companion to the Roman Republic</t>
  </si>
  <si>
    <t>A Companion to Medieval Art : Romanesque and Gothic in Northern Europe</t>
  </si>
  <si>
    <t>A Companion to Museum Studies</t>
  </si>
  <si>
    <t>A Companion to the Civil War and Reconstruction</t>
  </si>
  <si>
    <t>A Companion to American Immigration</t>
  </si>
  <si>
    <t>A Companion to Europe, 1900 - 1945</t>
  </si>
  <si>
    <t>A Companion to the Roman Army</t>
  </si>
  <si>
    <t>The Encyclopedia of Human Resource Management, Volume 3 : Thematic Essays</t>
  </si>
  <si>
    <t>The Complete CPA Reference</t>
  </si>
  <si>
    <t>The Graphic Designer's Guide to Portfolio Design</t>
  </si>
  <si>
    <t>A Companion to World War I</t>
  </si>
  <si>
    <t>The Wiley-Blackwell Companion to Sociology</t>
  </si>
  <si>
    <t>The Wiley-Blackwell Handbook of Couples and Family Relationships</t>
  </si>
  <si>
    <t>Handbook of Food Safety Engineering</t>
  </si>
  <si>
    <t>Memoir : An Introduction</t>
  </si>
  <si>
    <t>Oxford American Handbook of Hospice and Palliative Medicine</t>
  </si>
  <si>
    <t>Understanding Social Networks : Theories, Concepts, and Findings</t>
  </si>
  <si>
    <t>The School Psychologist's Survival Guide</t>
  </si>
  <si>
    <t>Building Websites All-In-One for Dummies</t>
  </si>
  <si>
    <t>A Companion to Moral Anthropology</t>
  </si>
  <si>
    <t>Writing Science : How to Write Papers That Get Cited and Proposals That Get Funded</t>
  </si>
  <si>
    <t>Neurocritical Care</t>
  </si>
  <si>
    <t>Neuroimmunology</t>
  </si>
  <si>
    <t>Encyclopedia of Demons in World Religions and Cultures</t>
  </si>
  <si>
    <t>Encyclopedia of Alzheimer's Disease; with Directories of Research, Treatment and Care Facilities, 2d Ed</t>
  </si>
  <si>
    <t>Polymers in Industry from a to Z : A Concise Encyclopedia</t>
  </si>
  <si>
    <t>America's Death Penalty : Between Past and Present</t>
  </si>
  <si>
    <t>Lotions, Potions, Pills, and Magic : Health Care in Early America</t>
  </si>
  <si>
    <t>The Study of Children in Religions : A Methods Handbook</t>
  </si>
  <si>
    <t>Places of Encounter, Volume 1 : Time, Place, and Connectivity in World History, Volume One: To 1600</t>
  </si>
  <si>
    <t>The Wiley-Blackwell Companion to African Religions</t>
  </si>
  <si>
    <t>The Wiley-Blackwell Companion to Religion and Social Justice</t>
  </si>
  <si>
    <t>A Companion to Chinese Cinema</t>
  </si>
  <si>
    <t>The ESL / ELL Teacher's Survival Guide : Ready-To-Use Strategies, Tools, and Activities for Teaching English Language Learners of All Levels</t>
  </si>
  <si>
    <t>Symbolism : A Comprehensive Dictionary, 2d Ed</t>
  </si>
  <si>
    <t>Oxford American Handbook of Endocrinology and Diabetes</t>
  </si>
  <si>
    <t>Overfishing : What Everyone Needs to Know®</t>
  </si>
  <si>
    <t>Turkey : What Everyone Needs to Know®</t>
  </si>
  <si>
    <t>Arab Uprisings : What Everyone Needs to Know</t>
  </si>
  <si>
    <t>Just Enough Physiology</t>
  </si>
  <si>
    <t>Sudan, South Sudan, and Darfur : What Everyone Needs to Know®</t>
  </si>
  <si>
    <t>Convex Functions : Constructions, Characterizations and Counterexamples</t>
  </si>
  <si>
    <t>The Principal's Guide to Instructional Improvement : Theory to Practice</t>
  </si>
  <si>
    <t>Handbook of Psychology, History of Psychology</t>
  </si>
  <si>
    <t>Handbook of Psychology, Clinical Psychology</t>
  </si>
  <si>
    <t>The Rank and File of 19th Century Major League Baseball : Biographies of 1,084 Players, Owners, Managers and Umpires</t>
  </si>
  <si>
    <t>Historical Dictionary of Asian American Literature and Theater</t>
  </si>
  <si>
    <t>The Columbia Guide to Central African Literature in English Since 1945</t>
  </si>
  <si>
    <t>Medical Management of Eating Disorders</t>
  </si>
  <si>
    <t>3D A-To-Z : An Encyclopedic Dictionary</t>
  </si>
  <si>
    <t>Handbook of Psychology, Forensic Psychology</t>
  </si>
  <si>
    <t>Handbook of Psychology, Educational Psychology</t>
  </si>
  <si>
    <t>Handbook of Psychology, Assessment Psychology</t>
  </si>
  <si>
    <t>Handbook of New Religions and Cultural Production</t>
  </si>
  <si>
    <t>This Day in American History, 4th Ed</t>
  </si>
  <si>
    <t>Targeted Therapies in Breast Cancer</t>
  </si>
  <si>
    <t>Legal Executions in Nebraska, Kansas and Oklahoma Including the Indian Territory : A Comprehensive Registry</t>
  </si>
  <si>
    <t>The American Presidents Ranked by Performance, 1789-2012, 2d Ed</t>
  </si>
  <si>
    <t>RSMeans Illustrated Construction Dictionary</t>
  </si>
  <si>
    <t>How Washington Actually Works for Dummies</t>
  </si>
  <si>
    <t>Audit and Assurance Essentials : For Professional Accountancy Exams</t>
  </si>
  <si>
    <t>Historical Dictionary of the Beat Movement</t>
  </si>
  <si>
    <t>Depression</t>
  </si>
  <si>
    <t>American Literature on Stage and Screen : 525 Works and Their Adaptations</t>
  </si>
  <si>
    <t>A Companion to World History</t>
  </si>
  <si>
    <t>NFL Head Coaches : A Biographical Dictionary, 1920-2011</t>
  </si>
  <si>
    <t>Encyclopedia of Identity</t>
  </si>
  <si>
    <t>Encyclopedia of Group Processes and Intergroup Relations</t>
  </si>
  <si>
    <t>Encyclopedia of Health and Aging</t>
  </si>
  <si>
    <t>Encyclopedia of Death and the Human Experience</t>
  </si>
  <si>
    <t>Encyclopedia of Drug Policy</t>
  </si>
  <si>
    <t>Encyclopedia of Education Law</t>
  </si>
  <si>
    <t>Encyclopedia of Social Movement Media</t>
  </si>
  <si>
    <t>Encyclopedia of Victimology and Crime Prevention</t>
  </si>
  <si>
    <t>The SAGE Encyclopedia of Terrorism, Second Edition</t>
  </si>
  <si>
    <t>Encyclopedia of Science and Technology Communication</t>
  </si>
  <si>
    <t>Encyclopedia of Global Religion</t>
  </si>
  <si>
    <t>Encyclopedia of Educational Reform and Dissent</t>
  </si>
  <si>
    <t>Encyclopedia of Substance Abuse Prevention, Treatment, and Recovery</t>
  </si>
  <si>
    <t>Encyclopedia of Criminological Theory</t>
  </si>
  <si>
    <t>Encyclopedia of Law Enforcement</t>
  </si>
  <si>
    <t>Encyclopedia of Power</t>
  </si>
  <si>
    <t>Encyclopedia of Gender and Society</t>
  </si>
  <si>
    <t>Encyclopedia of Social Theory</t>
  </si>
  <si>
    <t>Encyclopedia of Political Communication</t>
  </si>
  <si>
    <t>SAGE Brief Guide to Business Ethics</t>
  </si>
  <si>
    <t>Encyclopedia of Political Theory</t>
  </si>
  <si>
    <t>The Musical Instrument Desk Reference : A Guide to How Band and Orchestral Instruments Work</t>
  </si>
  <si>
    <t>Energy : What Everyone Needs to Know®</t>
  </si>
  <si>
    <t>A Companion to Women's Military History</t>
  </si>
  <si>
    <t>Historical Dictionary of Jazz</t>
  </si>
  <si>
    <t>Wall Street : A History, Updated Edition</t>
  </si>
  <si>
    <t>The Silk Road : A New History</t>
  </si>
  <si>
    <t>Encyclopedia of Curriculum Studies</t>
  </si>
  <si>
    <t>Encyclopedia of Family Health</t>
  </si>
  <si>
    <t>The Wiley-Blackwell Companion to Christian Mysticism</t>
  </si>
  <si>
    <t>Quotations for All Occasions</t>
  </si>
  <si>
    <t>The Palgrave Handbook of Gender and Healthcare</t>
  </si>
  <si>
    <t>The Palgrave Handbook of Spirituality and Business</t>
  </si>
  <si>
    <t>Handbook of Prosocial Education</t>
  </si>
  <si>
    <t>The Cambridge Introduction to Samuel Taylor Coleridge</t>
  </si>
  <si>
    <t>The Cambridge Introduction to Thomas Mann</t>
  </si>
  <si>
    <t>The Cambridge Introduction to Charles Dickens</t>
  </si>
  <si>
    <t>A Critical Introduction to Mao</t>
  </si>
  <si>
    <t>Health Care Reform and American Politics : What Everyone Needs to Know®, Revised and Updated Edition</t>
  </si>
  <si>
    <t>The Makeover : Reality Television and Reflexive Audiences</t>
  </si>
  <si>
    <t>20th Century Jewish Religious Thought</t>
  </si>
  <si>
    <t>Dictionary of Jewish Words : A JPS Guide</t>
  </si>
  <si>
    <t>Painters of the Renaissance</t>
  </si>
  <si>
    <t>The Birth of Rock and Roll : Music in the 1950S Through The 1960S</t>
  </si>
  <si>
    <t>The Science of Nutrition</t>
  </si>
  <si>
    <t>Taxes in America : What Everyone Needs to Know®</t>
  </si>
  <si>
    <t>Antisemitism : A History</t>
  </si>
  <si>
    <t>The Dance of Air and Sea : How Oceans, Weather, and Life Link Together</t>
  </si>
  <si>
    <t>Dictionaries. an International Encyclopedia of Lexicography : Supplementary Volume: Recent Developments with Focus on Electronic and Computational Lexicography</t>
  </si>
  <si>
    <t>Encyclopedia of English Language Bible Versions</t>
  </si>
  <si>
    <t>Lexicon of Environmental Law / les définitions du Droit de L'environnement</t>
  </si>
  <si>
    <t>A Companion to Roman Imperialism</t>
  </si>
  <si>
    <t>Brill's Companion to Horace</t>
  </si>
  <si>
    <t>Dissertation Solutions : A Concise Guide to Planning, Implementing, and Surviving the Dissertation Process</t>
  </si>
  <si>
    <t>Neuro-Ophthalmology</t>
  </si>
  <si>
    <t>Handbook Of Climate Change And Agroecosystems: Global And Regional Aspects And Implications - Joint Publication With The American Society Of Agronomy</t>
  </si>
  <si>
    <t>Handbook of the Psychology of Science</t>
  </si>
  <si>
    <t>Making Women's Histories : Beyond National Perspectives</t>
  </si>
  <si>
    <t>A Companion to World War II</t>
  </si>
  <si>
    <t>A Dictionary of Literary Terms and Literary Theory</t>
  </si>
  <si>
    <t>A Companion to Global Environmental History</t>
  </si>
  <si>
    <t>Dictionary of DNA and Genome Technology</t>
  </si>
  <si>
    <t>A Companion to the Historical Film</t>
  </si>
  <si>
    <t>The Handbook of English for Specific Purposes</t>
  </si>
  <si>
    <t>Dictionary of Industrial Terms</t>
  </si>
  <si>
    <t>Called to Serve : A History of Nuns in America</t>
  </si>
  <si>
    <t>The Wiley-Blackwell Handbook of the Psychology of Leadership, Change, and Organizational Development</t>
  </si>
  <si>
    <t>Psychiatry and Clinical Neuroscience</t>
  </si>
  <si>
    <t>John F. Kennedy in Quotations : A Topical Dictionary, with Sources</t>
  </si>
  <si>
    <t>Encyclopedia of the Environment in American Literature</t>
  </si>
  <si>
    <t>New Microfinance Handbook : A Financial Market System Perspective</t>
  </si>
  <si>
    <t>Punch and Judy in 19th Century America : A History and Biographical Dictionary</t>
  </si>
  <si>
    <t>The United States of the United Races : A Utopian History of Racial Mixing</t>
  </si>
  <si>
    <t>Reproductive Politics : What Everyone Needs to Know®</t>
  </si>
  <si>
    <t>A Handbook of the World's Conifers (2 Vols. ) : Revised and Updated Edition</t>
  </si>
  <si>
    <t>American Military Transport Aircraft Since 1925</t>
  </si>
  <si>
    <t>World Scientific Handbook Of Energy, The</t>
  </si>
  <si>
    <t>Concise Dictionary of Social and Cultural Anthropology</t>
  </si>
  <si>
    <t>The Economic War Against Cuba : A Historical and Legal Perspective on the U. S. Blockade</t>
  </si>
  <si>
    <t>The Food Safety Hazard Guidebook</t>
  </si>
  <si>
    <t>An Introduction to International Refugee Law</t>
  </si>
  <si>
    <t>From Bombay to Bollywood : The Making of a Global Media Industry</t>
  </si>
  <si>
    <t>China in the 21st Century : What Everyone Needs to Know</t>
  </si>
  <si>
    <t>Blackwell's Nursing Dictionary</t>
  </si>
  <si>
    <t>Advanced Calculus, An Introduction To Mathematical Analysis</t>
  </si>
  <si>
    <t>Legal Pluralism and Empires, 1500-1850</t>
  </si>
  <si>
    <t>The United Kingdom - England : Ireland</t>
  </si>
  <si>
    <t>France - Britannica Guide to Countries of the European Union : Ireland</t>
  </si>
  <si>
    <t>Germany - Britannica Guide to Countries of the European Union : Ireland</t>
  </si>
  <si>
    <t>Italy - Britannica Guide to Countries of the European Union</t>
  </si>
  <si>
    <t>Portugal and Spain - Britannica Guide to Countries of the European Union : Ireland</t>
  </si>
  <si>
    <t>Bulgaria, Hungary, Romania, the Czech Republic, and Slovakia - Britannica Guide to Countries of the European Union : Ireland</t>
  </si>
  <si>
    <t>Denmark, Finland, and Sweden - Britannica Guide to Countries of the European Union : Ireland</t>
  </si>
  <si>
    <t>Austria, Croatia, and Slovenia - Britannica Guide to Countries of the European Union : Ireland</t>
  </si>
  <si>
    <t>Estonia, Latvia, Lithuania, and Poland - Britannica Guide to Countries of the European Union : Ireland</t>
  </si>
  <si>
    <t>Cyprus, Greece, and Malta - Britannica Guide to Countries of the European Union : Ireland</t>
  </si>
  <si>
    <t>Belgium, Luxembourg, and the Netherlands - Britannica Guide to Countries of the European Union : Ireland</t>
  </si>
  <si>
    <t>Classical Authors - 500 BCE to 1100 CE : Classical Authors: 500 Bce to 1100 Ce</t>
  </si>
  <si>
    <t>Authors of the Medieval and Renaissance Eras, 1100 to 1660 : Authors of the Enlightenment: 1660 To 1800</t>
  </si>
  <si>
    <t>Authors of the Enlightenment, 1660 to 1800 : Authors of the Enlightenment: 1660 To 1800</t>
  </si>
  <si>
    <t>Authors of the 19th Century : Authors of the Enlightenment: 1660 To 1800</t>
  </si>
  <si>
    <t>Authors of the Early to Mid-20th Century : Authors of the Enlightenment: 1660 To 1800</t>
  </si>
  <si>
    <t>Contemporary Authors - 1945 to the Present : Contemporary Authors: 1945 to the Present</t>
  </si>
  <si>
    <t>Explorers in the 20th and 21st Centuries : From Auguste Piccard to James Cameron</t>
  </si>
  <si>
    <t>Pandemics : What Everyone Needs to Know®</t>
  </si>
  <si>
    <t>1929 : Mapping the Jewish World</t>
  </si>
  <si>
    <t>Biographical Dictionary of the People's Republic of China</t>
  </si>
  <si>
    <t>The Climate Crisis : An Introductory Guide to Climate Change</t>
  </si>
  <si>
    <t>The Guidebook to Sociolinguistics</t>
  </si>
  <si>
    <t>The Palgrave Handbook of Olympic Studies</t>
  </si>
  <si>
    <t>Food Politics : What Everyone Needs to Know®</t>
  </si>
  <si>
    <t>Revolutionary Medicine : The Founding Fathers and Mothers in Sickness and in Health</t>
  </si>
  <si>
    <t>The Princeton Dictionary of Buddhism</t>
  </si>
  <si>
    <t>Medical Decision Making : A Physician's Guide</t>
  </si>
  <si>
    <t>Kel Richards' Dictionary of Phrase and Fable</t>
  </si>
  <si>
    <t>Encyclopedia of Fairies in World Folklore and Mythology</t>
  </si>
  <si>
    <t>Servants of Allah : African Muslims Enslaved in the Americas</t>
  </si>
  <si>
    <t>Encyclopedia of Nuclear Physics and Its Applications</t>
  </si>
  <si>
    <t>Dictionary of Tocharian B. : Revised and Greatly Enlarged.</t>
  </si>
  <si>
    <t>A Performer's Guide to Renaissance Music, Second Edition</t>
  </si>
  <si>
    <t>Hanukkah in America : A History</t>
  </si>
  <si>
    <t>Hydrofracking : What Everyone Needs to Know®</t>
  </si>
  <si>
    <t>ALA Glossary of Library and Information Science</t>
  </si>
  <si>
    <t>Essential Ornithology</t>
  </si>
  <si>
    <t>Cybersecurity and Cyberwar : What Everyone Needs to Know®</t>
  </si>
  <si>
    <t>Brill's Companion to Sophocles</t>
  </si>
  <si>
    <t>Slavery's Exiles : The Story of the American Maroons</t>
  </si>
  <si>
    <t>Administrative Law</t>
  </si>
  <si>
    <t>Introduction to Power Electronics</t>
  </si>
  <si>
    <t>Dictionary of Wa (2 Vols) : With Translations into English, Burmese and Chinese</t>
  </si>
  <si>
    <t>A Guide to Online Course Design : Strategies for Student Success</t>
  </si>
  <si>
    <t>Phantom Limb : Amputation, Embodiment, and Prosthetic Technology</t>
  </si>
  <si>
    <t>A Dictionary of Chemical Engineering</t>
  </si>
  <si>
    <t>Evaluation of Parenting Capacity in Child Protection</t>
  </si>
  <si>
    <t>Children's Rights under and the Law</t>
  </si>
  <si>
    <t>Student Engagement Handbook : Practice in Higher Education</t>
  </si>
  <si>
    <t>Peter Carey : A Literary Companion</t>
  </si>
  <si>
    <t>Alternate Names of Places : A Worldwide Dictionary</t>
  </si>
  <si>
    <t>Serial Vigilantes of Paperback Fiction : An Encyclopedia from Able Team to Z-Comm</t>
  </si>
  <si>
    <t>An Illustrated Dictionary of the Third Reich</t>
  </si>
  <si>
    <t>American Revolutionary War Leaders : A Biographical Dictionary</t>
  </si>
  <si>
    <t>Statistical Encyclopedia of North American Professional Sports : All Major League Teams and Major Non-Team Events Year by Year, 1876 Through 2006, 2d Ed</t>
  </si>
  <si>
    <t>Encyclopedia of Television Law Shows : Factual and Fictional Series about Judges, Lawyers and the Courtroom, 1948-2008</t>
  </si>
  <si>
    <t>Edward Albee : A Literary Companion</t>
  </si>
  <si>
    <t>Off Broadway Musicals, 1910-2007 : Casts, Credits, Songs, Critical Reception and Performance Data of More Than 1,800 Shows</t>
  </si>
  <si>
    <t>The Seafaring Dictionary : Terms, Idioms and Legends of the Past and Present</t>
  </si>
  <si>
    <t>Brill's Companion to Seneca : Philosopher and Dramatist</t>
  </si>
  <si>
    <t>Using Online Dictionaries</t>
  </si>
  <si>
    <t>Lifted : A Cultural History of the Elevator</t>
  </si>
  <si>
    <t>Psychopathy : An Introduction to Biological Findings and Their Implications</t>
  </si>
  <si>
    <t>Pranksters : Making Mischief in the Modern World</t>
  </si>
  <si>
    <t>Feeling Mediated : A History of Media Technology and Emotion in America</t>
  </si>
  <si>
    <t>The Catholic Church : What Everyone Needs to Know®</t>
  </si>
  <si>
    <t>Oxford Handbook of Rheumatology</t>
  </si>
  <si>
    <t>Family Practice Guidelines, Third Edition</t>
  </si>
  <si>
    <t>The Post-Racial Mystique : Media and Race in the Twenty-First Century</t>
  </si>
  <si>
    <t>Introduction to 4G Mobile Communications</t>
  </si>
  <si>
    <t>Encyclopedia of Imaginary and Mythical Places</t>
  </si>
  <si>
    <t>Dictionary of Contemporary Slang</t>
  </si>
  <si>
    <t>Great Authors of Classic Literature</t>
  </si>
  <si>
    <t>Great Authors of Popular Fiction</t>
  </si>
  <si>
    <t>Great Authors of Nonfiction</t>
  </si>
  <si>
    <t>Great Authors of Mystery, Horror and Thrillers</t>
  </si>
  <si>
    <t>Great Authors of Children's Books</t>
  </si>
  <si>
    <t>Top 101 Musicians</t>
  </si>
  <si>
    <t>Top 101 World Leaders</t>
  </si>
  <si>
    <t>Top 101 Remarkable Women</t>
  </si>
  <si>
    <t>Top 101 Artists</t>
  </si>
  <si>
    <t>Top 101 Philosophers</t>
  </si>
  <si>
    <t>Top 101 Athletes</t>
  </si>
  <si>
    <t>United States Gubernatorial Elections, 1932-1952 : The Official Results by State and County</t>
  </si>
  <si>
    <t>The Gun Debate : What Everyone Needs to Know®</t>
  </si>
  <si>
    <t>The Counter-Revolution Of 1776 : Slave Resistance and the Origins of the United States of America</t>
  </si>
  <si>
    <t>Essential Interviewing and Counseling Skills : An Integrated Approach to Practice</t>
  </si>
  <si>
    <t>Hollywood Stunt Performers, 1910s-1970s : A Biographical Dictionary, 2d Ed</t>
  </si>
  <si>
    <t>The Wiley Handbook of Anxiety Disorders</t>
  </si>
  <si>
    <t>The Eighteenth Century : 1688-1815</t>
  </si>
  <si>
    <t>Classical Greece : 500-323 BC</t>
  </si>
  <si>
    <t>Writing Resumes and Cover Letters for Dummies - Australia / NZ</t>
  </si>
  <si>
    <t>Handbook of Spectroscopy</t>
  </si>
  <si>
    <t>Britannica Student Encyclopedia</t>
  </si>
  <si>
    <t>Writing about Music : A Style Sheet</t>
  </si>
  <si>
    <t>Dictionary of the Ben Cao Gang Mu, Volume 1 : Chinese Historical Illness Terminology</t>
  </si>
  <si>
    <t>A Companion to Ethnicity in the Ancient Mediterranean</t>
  </si>
  <si>
    <t>Research Methods for Business and Management : A Guide to Writing Your Dissertation</t>
  </si>
  <si>
    <t>Business Planning Essentials for Dummies</t>
  </si>
  <si>
    <t>Fashion</t>
  </si>
  <si>
    <t>A Companion to Warren G. Harding, Calvin Coolidge, and Herbert Hoover</t>
  </si>
  <si>
    <t>Unsettled States : Nineteenth-Century American Literary Studies</t>
  </si>
  <si>
    <t>Essential Criminology</t>
  </si>
  <si>
    <t>ABC of Anxiety and Depression</t>
  </si>
  <si>
    <t>Guidelines for Reporting Health Research : A User's Manual</t>
  </si>
  <si>
    <t>A Companion to Martin Scorsese</t>
  </si>
  <si>
    <t>Global Studies Encyclopedic Dictionary</t>
  </si>
  <si>
    <t>The Australian Editing Handbook</t>
  </si>
  <si>
    <t>A Companion to Greek Democracy and the Roman Republic</t>
  </si>
  <si>
    <t>A Companion to Livy</t>
  </si>
  <si>
    <t>Anarchism, Revolution, and Terrorism</t>
  </si>
  <si>
    <t>Bands, Tribes, and First Peoples and Nations</t>
  </si>
  <si>
    <t>Capitalism</t>
  </si>
  <si>
    <t>Democracy</t>
  </si>
  <si>
    <t>Socialism and Communism</t>
  </si>
  <si>
    <t>American Higher Education in Crisis? : What Everyone Needs to Know®</t>
  </si>
  <si>
    <t>Health Humanities Reader</t>
  </si>
  <si>
    <t>ABC of Arterial and Venous Disease</t>
  </si>
  <si>
    <t>Gods, Demigods and Demons : An Encyclopedia of Greek Mythology</t>
  </si>
  <si>
    <t>A Book of Emblems : The Emblematum Liber in Latin and English</t>
  </si>
  <si>
    <t>Agricultural and Food Controversies : What Everyone Needs to Know®</t>
  </si>
  <si>
    <t>Service-Learning Essentials : Questions, Answers, and Lessons Learned</t>
  </si>
  <si>
    <t>Marine Pollution : What Everyone Needs to Know®</t>
  </si>
  <si>
    <t>ABC of Hypertension</t>
  </si>
  <si>
    <t>ABC of Transfer and Retrieval Medicine</t>
  </si>
  <si>
    <t>Complete Guide to Christian Quotations : An Indispensable Resource for Writers, Pastors, Teachers, Students--and Anyone Else Who Loves Books</t>
  </si>
  <si>
    <t>Architectural Styles : A Visual Guide</t>
  </si>
  <si>
    <t>A Companion to Latin Greece</t>
  </si>
  <si>
    <t>Major League Baseball Players Of 1916 : A Biographical Dictionary</t>
  </si>
  <si>
    <t>A Counselor's Guide to Working with Men</t>
  </si>
  <si>
    <t>Video Atlas of Cleft Lip and Palate Surgery : Life Stories and the Narrative Self</t>
  </si>
  <si>
    <t>Wiley-Blackwell Student Dictionary of Human Evolution</t>
  </si>
  <si>
    <t>The Wiley Handbook of Psychology, Technology, and Society</t>
  </si>
  <si>
    <t>A Companion to Heritage Studies</t>
  </si>
  <si>
    <t>The Handbook of Bilingual and Multilingual Education</t>
  </si>
  <si>
    <t>A Companion to Ronald Reagan</t>
  </si>
  <si>
    <t>The Concise Encyclopedia of Communication</t>
  </si>
  <si>
    <t>The Center for Creative Leadership Handbook of Coaching in Organizations</t>
  </si>
  <si>
    <t>A Companion to Contemporary Documentary Film</t>
  </si>
  <si>
    <t>A Companion to the Archaeology of Religion in the Ancient World</t>
  </si>
  <si>
    <t>Handbook of Child Psychology and Developmental Science, Theory and Method</t>
  </si>
  <si>
    <t>Handbook of Child Psychology and Developmental Science, Cognitive Processes</t>
  </si>
  <si>
    <t>Handbook of Child Psychology and Developmental Science, Socioemotional Processes</t>
  </si>
  <si>
    <t>Handbook of Child Psychology and Developmental Science, Ecological Settings and Processes</t>
  </si>
  <si>
    <t>A Practical Guide to the Science and Practice of Afterschool Programming : New Directions for Youth Development, Number 144</t>
  </si>
  <si>
    <t>Holy Bingo, the Lingo of Eden, Jumpin' Jehosophat and the Land of Nod : A Dictionary of the Names, Expressions and Folklore of Christianity</t>
  </si>
  <si>
    <t>Lewis Carroll among His Books : A Descriptive Catalogue of the Private Library of Charles L. Dodgson</t>
  </si>
  <si>
    <t>Oxford American Handbook of Oncology</t>
  </si>
  <si>
    <t>Annotated Bibliography of Films in Automation, Data Processing, and Computer Science</t>
  </si>
  <si>
    <t>First Name Reverse Dictionary : Given Names Listed by Meaning (2nd Edition)</t>
  </si>
  <si>
    <t>Venezuela : What Everyone Needs to Know®</t>
  </si>
  <si>
    <t>At Home in Nineteenth-Century America : A Documentary History</t>
  </si>
  <si>
    <t>The Chicago Handbook of University Technology Transfer and Academic Entrepreneurship</t>
  </si>
  <si>
    <t>Psychics, Sensitives and Somnambules : A Biographical Dictionary with Bibliographies</t>
  </si>
  <si>
    <t>Encyclopedia of Nursing Education</t>
  </si>
  <si>
    <t>Encyclopedia of Mind Enhancing Foods, Drugs and Nutritional Substances, 2d Ed</t>
  </si>
  <si>
    <t>The Handbook of Interior Design</t>
  </si>
  <si>
    <t>Arkham House Books : A Collector's Guide</t>
  </si>
  <si>
    <t>The Polo Encyclopedia, 2d Ed</t>
  </si>
  <si>
    <t>Pynchon Character Names : A Dictionary</t>
  </si>
  <si>
    <t>Encyclopedia of Play in Today′s Society</t>
  </si>
  <si>
    <t>21st Century Economics: a Reference Handbook</t>
  </si>
  <si>
    <t>Handbook of Global Contemporary Christianity : Themes and Developments in Culture, Politics, and Society</t>
  </si>
  <si>
    <t>Dictionary of New Testament Background : A Compendium of Contemporary Biblical Scholarship</t>
  </si>
  <si>
    <t>Dictionary of the Old Testament: Pentateuch : A Compendium of Contemporary Biblical Scholarship</t>
  </si>
  <si>
    <t>The US Special Forces : What Everyone Needs to Know®</t>
  </si>
  <si>
    <t>A Companion to the Harlem Renaissance</t>
  </si>
  <si>
    <t>The IVP Bible Background Commentary: Old Testament</t>
  </si>
  <si>
    <t>Pocket Dictionary of Theological Terms</t>
  </si>
  <si>
    <t>Encyclopedia of African Religion</t>
  </si>
  <si>
    <t>Opera : An Encyclopedia of World Premieres and Significant Performances, Singers, Composers, Librettists, Arias and Conductors, 1597-2000</t>
  </si>
  <si>
    <t>The Fourth of July Encyclopedia</t>
  </si>
  <si>
    <t>The Place-Names of Wales</t>
  </si>
  <si>
    <t>A Biographical Dictionary of Silent Film Western Actors and Actresses</t>
  </si>
  <si>
    <t>Encyclopedia of the Byzantine Empire</t>
  </si>
  <si>
    <t>Treating Nonepileptic Seizures : Therapist Guide</t>
  </si>
  <si>
    <t>Handbook of Cognitive Linguistics</t>
  </si>
  <si>
    <t>British Architectural Styles : An Easy Reference Guide</t>
  </si>
  <si>
    <t>The FBI Encyclopedia</t>
  </si>
  <si>
    <t>Baseball Players of The 1950s : A Biographical Dictionary of All 1,560 Major Leaguers</t>
  </si>
  <si>
    <t>A Biographical Dictionary of Major League Baseball Managers</t>
  </si>
  <si>
    <t>Real-World Decision Making : An Encyclopedia of Behavioral Economics</t>
  </si>
  <si>
    <t>A Companion to Hong Kong Cinema</t>
  </si>
  <si>
    <t>World Monetary Units : An Historical Dictionary, Country by Country</t>
  </si>
  <si>
    <t>Al Qaeda, the Islamic State, and the Global Jihadist Movement : What Everyone Needs to Know®</t>
  </si>
  <si>
    <t>A Companion to Ancient Education</t>
  </si>
  <si>
    <t>The Complete Dictionary of Real Estate Terms Explained Simply : What Smart Investors Need to Know</t>
  </si>
  <si>
    <t>The Complete Dictionary of Mortgage &amp; Lending Terms Explained Simply : What Smart Investors Need to Know</t>
  </si>
  <si>
    <t>Wall Street Lingo : Thousands of Investment Terms Explained Simply</t>
  </si>
  <si>
    <t>The Complete Dictionary of Insurance Terms Explained Simply</t>
  </si>
  <si>
    <t>The Encyclopedia of Small Business Forms and Agreements : A Complete Kit of Ready-to-Use Business Checklists, Worksheets, Forms, Contracts, and Human Resource Documents</t>
  </si>
  <si>
    <t>The Complete Dictionary of Accounting and Bookkeeping Terms Explained Simply</t>
  </si>
  <si>
    <t>Legal Executions in Delaware, the District of Columbia, Maryland, Virginia and West Virginia : A Comprehensive Registry, 1866-1962</t>
  </si>
  <si>
    <t>Encyclopedia of Sexually Transmitted Diseases</t>
  </si>
  <si>
    <t>English Language Bible Translators</t>
  </si>
  <si>
    <t>Popes and Cardinals of the 20th Century : A Biographical Dictionary</t>
  </si>
  <si>
    <t>Border Disputes : A Global Encyclopedia [3 Volumes]</t>
  </si>
  <si>
    <t>The Conflict in Ukraine : What Everyone Needs to Know®</t>
  </si>
  <si>
    <t>Fundamentals of Research Methodology : A Holistic Guide for Research Completion, Management, Validation and Ethics</t>
  </si>
  <si>
    <t>Enhancing K-12 Financial Education : A Resource Guide for Policymakers</t>
  </si>
  <si>
    <t>The Books of Jeu and the Pistis Sophia As Handbooks to Eternity : Exploring the Gnostic Mysteries of the Ineffable</t>
  </si>
  <si>
    <t>Brill's Companion to Roman Tragedy</t>
  </si>
  <si>
    <t>Handbook of Practical Program Evaluation</t>
  </si>
  <si>
    <t>Legal Executions in New England : A Comprehensive Reference, 1623-1960</t>
  </si>
  <si>
    <t>Russian-English Dictionary of Proverbs and Sayings</t>
  </si>
  <si>
    <t>Hospital Ships of World War II : An Illustrated Reference to 39 United States Military Vessels</t>
  </si>
  <si>
    <t>Adolescent Health Literacy and Learning</t>
  </si>
  <si>
    <t>The Multicultural Dictionary of Proverbs : Over 20,000 Adages from More Than 120 Languages, Nationalities and Ethnic Groups</t>
  </si>
  <si>
    <t>Brill's Companion to Ancient Greek Scholarship (2 Vols. )</t>
  </si>
  <si>
    <t>ADHD : What Everyone Needs to Know®</t>
  </si>
  <si>
    <t>Brill's Companion to Propertius</t>
  </si>
  <si>
    <t>Brill's Companion to Thucydides</t>
  </si>
  <si>
    <t>Legal Executions in North Carolina and South Carolina : A Comprehensive Registry, 1866-1962</t>
  </si>
  <si>
    <t>Encyclopedia of Time : Science, Philosophy, Theology, and Culture</t>
  </si>
  <si>
    <t>American Jewish History : A JPS Guide</t>
  </si>
  <si>
    <t>Antiwar Dissent and Peace Activism in World War I America : A Documentary Reader</t>
  </si>
  <si>
    <t>The Federal Reserve : What Everyone Needs to Know®</t>
  </si>
  <si>
    <t>Water Dictionary : A Comprehensive Reference of Water Terminology</t>
  </si>
  <si>
    <t>Dictionary of Philosophy (English – Spanish || Spanish – English) Diccionario de Filosofía (Español – Inglés || Inglés – Español)</t>
  </si>
  <si>
    <t>Labor Guide to Labor Law</t>
  </si>
  <si>
    <t>Orchids of Tropical America : An Introduction and Guide</t>
  </si>
  <si>
    <t>Handbook of Energy Audits</t>
  </si>
  <si>
    <t>Energy Management Handbook</t>
  </si>
  <si>
    <t>Energy Conservation Guidebook</t>
  </si>
  <si>
    <t>Encyclopedia of Prisoners of War and Internment</t>
  </si>
  <si>
    <t>Encyclopedia of Warrior Peoples and Fighting Groups</t>
  </si>
  <si>
    <t>Encyclopedia of Invasions and Conquests : From Ancient Times to the Present</t>
  </si>
  <si>
    <t>African Biographical Dictionary</t>
  </si>
  <si>
    <t>Encyclopedia of African-American Writing (2nd Edition)</t>
  </si>
  <si>
    <t>Comparative Guide to American Suburbs</t>
  </si>
  <si>
    <t>Quintessential Searcher : The Wit and Wisdom of Barbara Quint</t>
  </si>
  <si>
    <t>Zooplankton of the Atlantic and Gulf Coasts : A Guide to Their Identification and Ecology</t>
  </si>
  <si>
    <t>Squirrels of the World</t>
  </si>
  <si>
    <t>Origins of Mathematical Words : A Comprehensive Dictionary of Latin, Greek, and Arabic Roots</t>
  </si>
  <si>
    <t>The Johns Hopkins Guide to Digital Media</t>
  </si>
  <si>
    <t>Freshwater Fishes of North America : Volume 1: Petromyzontidae to Catostomidae</t>
  </si>
  <si>
    <t>The Siddhāntasundara of Jñānarāja : An English Translation with Commentary</t>
  </si>
  <si>
    <t>Encyclopedia of Earth and Physical Sciences (2nd Edition)</t>
  </si>
  <si>
    <t>Great World Writers : Twentieth Century</t>
  </si>
  <si>
    <t>Encyclopedia of Health</t>
  </si>
  <si>
    <t>Encyclopedia of the Aquatic World</t>
  </si>
  <si>
    <t>Encyclopedia of Life Sciences</t>
  </si>
  <si>
    <t>Networked : The New Social Operating System</t>
  </si>
  <si>
    <t>Computing : A Concise History</t>
  </si>
  <si>
    <t>Algorithms Unlocked</t>
  </si>
  <si>
    <t>Moving Innovation : A History of Computer Animation</t>
  </si>
  <si>
    <t>Crowdsourcing</t>
  </si>
  <si>
    <t>Memes in Digital Culture</t>
  </si>
  <si>
    <t>The New Visual Neurosciences</t>
  </si>
  <si>
    <t>Big Ideas in Macroeconomics : A Nontechnical View</t>
  </si>
  <si>
    <t>Visual Insights : A Practical Guide to Making Sense of Data</t>
  </si>
  <si>
    <t>The Copyright Book, Sixth Edition : A Practical Guide</t>
  </si>
  <si>
    <t>The Conscious Mind</t>
  </si>
  <si>
    <t>Understanding Beliefs</t>
  </si>
  <si>
    <t>MOOCs</t>
  </si>
  <si>
    <t>Understanding Global Crises : An Emerging Paradigm</t>
  </si>
  <si>
    <t>Processing : A Programming Handbook for Visual Designers and Artists</t>
  </si>
  <si>
    <t>Video Games Around the World</t>
  </si>
  <si>
    <t>Marketing Scales Handbook : Multi-Item Measures for Consumer Insight Research, Volume 7</t>
  </si>
  <si>
    <t>Marketing Scales Handbook : A Compilation of Multi-Item Measures for Consumer Behavior and Advertising Research, Volume 6</t>
  </si>
  <si>
    <t>The No-Nonsense Guide to World Poverty</t>
  </si>
  <si>
    <t>The No-Nonsense Guide to Science</t>
  </si>
  <si>
    <t>The No-Nonsense Guide to Islam</t>
  </si>
  <si>
    <t>The No-Nonsense Guide to Human Rights</t>
  </si>
  <si>
    <t>The No-Nonsense Guide to World Health</t>
  </si>
  <si>
    <t>The No-Nonsense Guide to Tourism</t>
  </si>
  <si>
    <t>The No-Nonsense Guide to Sexual Diversity</t>
  </si>
  <si>
    <t>The No-Nonsense Guide to International Development</t>
  </si>
  <si>
    <t>The No-Nonsense Guide to Fair Trade</t>
  </si>
  <si>
    <t>The No-Nonsense Guide to Conflict and Peace</t>
  </si>
  <si>
    <t>The No-Nonsense Guide to Degrowth and Sustainability</t>
  </si>
  <si>
    <t>Mental Health Disorders Sourcebook</t>
  </si>
  <si>
    <t>Essential Fashion Illustration: Color and Medium : Color and Medium</t>
  </si>
  <si>
    <t>Essential Fashion Illustration: Men : Men</t>
  </si>
  <si>
    <t>Atlas of Fashion Designers</t>
  </si>
  <si>
    <t>Atlas of Graphic Designers</t>
  </si>
  <si>
    <t>Forms, Folds and Sizes, Second Edition : All the Details Graphic Designers Need to Know but Can Never Find</t>
  </si>
  <si>
    <t>Essential Fashion Illustration: Details : Details</t>
  </si>
  <si>
    <t>Essential Fashion Illustration: Poses : Poses</t>
  </si>
  <si>
    <t>Feminists Who Changed America, 1963-1975</t>
  </si>
  <si>
    <t>The Milton Encyclopedia</t>
  </si>
  <si>
    <t>The Dictionary of Modern Proverbs</t>
  </si>
  <si>
    <t>Introduction to the Bible</t>
  </si>
  <si>
    <t>Political Philosophy</t>
  </si>
  <si>
    <t>Russian-English Dictionary of Idioms</t>
  </si>
  <si>
    <t>Holidays, Festivals and Celebrations of the World Dictionary</t>
  </si>
  <si>
    <t>Timor-Leste's Bill of Rights : A Preliminary History</t>
  </si>
  <si>
    <t>Dictionary of World Biography</t>
  </si>
  <si>
    <t>Performance Management Handbook for Emerging Markets</t>
  </si>
  <si>
    <t>Pocket Guide to World Religions</t>
  </si>
  <si>
    <t>A-Z Reversed Edition</t>
  </si>
  <si>
    <t>Arab-Islamic Biographical Index</t>
  </si>
  <si>
    <t>A Companion to Ancient Egyptian Art</t>
  </si>
  <si>
    <t>A Companion to Celebrity</t>
  </si>
  <si>
    <t>A Companion to Archaic Greece</t>
  </si>
  <si>
    <t>A Companion to the English Novel</t>
  </si>
  <si>
    <t>A Companion to Derrida</t>
  </si>
  <si>
    <t>A Companion to the Modern American Novel, 1900 - 1950</t>
  </si>
  <si>
    <t>The Wiley Blackwell Companion to Latino/a Theology</t>
  </si>
  <si>
    <t>The Handbook of Gangs</t>
  </si>
  <si>
    <t>The Essential Academic Dean or Provost : A Comprehensive Desk Reference</t>
  </si>
  <si>
    <t>The Winchester Guide to Keywords and Concepts for International Students in Art, Media and Design</t>
  </si>
  <si>
    <t>The Wiley Blackwell Companion to Zoroastrianism</t>
  </si>
  <si>
    <t>A Companion to the U. S. Civil War</t>
  </si>
  <si>
    <t>Essentials of Assessing, Preventing, and Overcoming Reading Difficulties</t>
  </si>
  <si>
    <t>A Companion to Roman Art</t>
  </si>
  <si>
    <t>The Wiley Handbook of Eating Disorders</t>
  </si>
  <si>
    <t>The Wiley Blackwell Handbook of the Psychology of Occupational Safety and Workplace Health</t>
  </si>
  <si>
    <t>A Companion to Julius Caesar</t>
  </si>
  <si>
    <t>A Companion to Custer and the Little Bighorn Campaign</t>
  </si>
  <si>
    <t>A Companion to the Anthropology of the Body and Embodiment</t>
  </si>
  <si>
    <t>A Companion to Mexican History and Culture</t>
  </si>
  <si>
    <t>A Companion to Richard M. Nixon</t>
  </si>
  <si>
    <t>A Companion to Benjamin Franklin</t>
  </si>
  <si>
    <t>A Companion to James Joyce</t>
  </si>
  <si>
    <t>A Companion to American Literary Studies</t>
  </si>
  <si>
    <t>A Companion to Poetic Genre</t>
  </si>
  <si>
    <t>A Companion to Bioethics</t>
  </si>
  <si>
    <t>A Companion to Jane Austen</t>
  </si>
  <si>
    <t>A Companion to the Anthropology of Europe</t>
  </si>
  <si>
    <t>A Companion to Families in the Greek and Roman Worlds</t>
  </si>
  <si>
    <t>A Brief History of American Literature</t>
  </si>
  <si>
    <t>A Companion to Medical Anthropology</t>
  </si>
  <si>
    <t>A Brief History of the Soul</t>
  </si>
  <si>
    <t>A Companion to the Anthropology of Education</t>
  </si>
  <si>
    <t>A Companion to Greek Mythology</t>
  </si>
  <si>
    <t>A Brief History of Justice</t>
  </si>
  <si>
    <t>The Wiley Blackwell Companion to Practical Theology</t>
  </si>
  <si>
    <t>The Wiley-Blackwell Companion to Chinese Religions</t>
  </si>
  <si>
    <t>The Wiley-Blackwell Encyclopedia of Eighteenth-Century Writers and Writing 1660 - 1789</t>
  </si>
  <si>
    <t>The Wiley-Blackwell Dictionary of Modern European History Since 1789</t>
  </si>
  <si>
    <t>Oxford Handbook of Mental Health Nursing</t>
  </si>
  <si>
    <t>Brill's Companion to Ancient Geography : The Inhabited World in Greek and Roman Tradition</t>
  </si>
  <si>
    <t>The Wiley-Blackwell Handbook of the Psychology of Coaching and Mentoring</t>
  </si>
  <si>
    <t>Fundamentals of Project Management</t>
  </si>
  <si>
    <t>The Cambridge Companion to Mozart</t>
  </si>
  <si>
    <t>The Cambridge Companion to Debussy</t>
  </si>
  <si>
    <t>The Cambridge Companion to Stravinsky</t>
  </si>
  <si>
    <t>The Cambridge Companion to Verdi</t>
  </si>
  <si>
    <t>Legal Executions in Georgia : A Comprehensive Registry, 1866-1964</t>
  </si>
  <si>
    <t>Radio Programs, 1924-1984 : A Catalog of More Than 1800 Shows</t>
  </si>
  <si>
    <t>Dictionary of Television and Audiovisual Terminology</t>
  </si>
  <si>
    <t>Gravesites of Southern Musicians : A Guide to over 300 Jazz, Blues, Country and Rock Performers' Burial Places</t>
  </si>
  <si>
    <t>British Author House Museums and Other Memorials : A Guide to Sites in England, Ireland, Scotland and Wales</t>
  </si>
  <si>
    <t>Korean War Filmography : 91 English Language Features Through 2000</t>
  </si>
  <si>
    <t>Indiana-Born Major League Baseball Players : A Biographical Dictionary, 1871-2014</t>
  </si>
  <si>
    <t>Guide to Methods for Students of Political Science</t>
  </si>
  <si>
    <t>The Healthcare Professional's Guide to Human Research</t>
  </si>
  <si>
    <t>Handbook of Jewish Languages</t>
  </si>
  <si>
    <t>A Companion to Priesthood and Holy Orders in the Middle Ages</t>
  </si>
  <si>
    <t>The Complete Review Guide to Contemporary World Fiction</t>
  </si>
  <si>
    <t>Ute Dictionary</t>
  </si>
  <si>
    <t>Brill's Companion to the Study of Greek Comedy</t>
  </si>
  <si>
    <t>Handbook of Ugaritic Studies</t>
  </si>
  <si>
    <t>A Dictionary of Samaritan Aramaic (2 Vols. )</t>
  </si>
  <si>
    <t>A Phoenician-Punic Grammar</t>
  </si>
  <si>
    <t>A Grammar of Egyptian Aramaic : Second Revised Edition</t>
  </si>
  <si>
    <t>A Grammar of Neo-Aramaic : The Dialect of the Jews of Arbel</t>
  </si>
  <si>
    <t>The Handbook of Canadian Higher Education</t>
  </si>
  <si>
    <t>Encyclopedia of Beasts and Monsters in Myth, Legend and Folklore</t>
  </si>
  <si>
    <t>Encyclopedia of Nordic Crime Fiction : Works and Authors of Denmark, Finland, Iceland, Norway and Sweden Since 1967</t>
  </si>
  <si>
    <t>Handbook of Bibliometric Indicators : Quantitative Tools for Studying and Evaluating Research</t>
  </si>
  <si>
    <t>Textual Curation : Authorship, Agency, and Technology in Wikipedia and Chambers's Cyclopaedia</t>
  </si>
  <si>
    <t>Encyclopedia of Giants and Humanoids in Myth, Legend and Folklore</t>
  </si>
  <si>
    <t>Kuala Lumpur Street Names</t>
  </si>
  <si>
    <t>A Companion to the Premodern Apocalypse</t>
  </si>
  <si>
    <t>Encyclopedia of the Yoruba</t>
  </si>
  <si>
    <t>Mussolini's Navy : A Reference Guide to the Regia Marina, 1930-1945</t>
  </si>
  <si>
    <t>Conference Interpreting : A Trainer’s Guide</t>
  </si>
  <si>
    <t>Watercolor Flower Artist's Bible : An Essential Reference for the Practicing Artist</t>
  </si>
  <si>
    <t>Annotated Bibliography of Quaternary Vertebrates of Northern North America</t>
  </si>
  <si>
    <t>The Yale Biographical Dictionary of American Law</t>
  </si>
  <si>
    <t>Resting Places : The Burial Sites of More Than 14,000 Famous Persons, 3d Ed</t>
  </si>
  <si>
    <t>The Comparative Guide to Elementary &amp; Secondary Schools, 2016/17</t>
  </si>
  <si>
    <t>The Max Weber Dictionary : Key Words and Central Concepts, Second Edition</t>
  </si>
  <si>
    <t>Encyclopedia of Media and Communication</t>
  </si>
  <si>
    <t>Placing Names : Enriching and Integrating Gazetteers</t>
  </si>
  <si>
    <t>Texas Almanac 2016-2017</t>
  </si>
  <si>
    <t>Dictionary of Cape Breton English</t>
  </si>
  <si>
    <t>Exposure and Response (Ritual) Prevention for Obsessive-Compulsive Disorder : Therapist Guide</t>
  </si>
  <si>
    <t>The Arabic-Ethiopic Glossary by Al-Malik Al-Afḍal : An Annotated Edition with a Linguistic Introduction and a Lexical Index</t>
  </si>
  <si>
    <t>Tools for Researching Vocabulary</t>
  </si>
  <si>
    <t>Dialect Atlas of North Yemen and Adjacent Areas</t>
  </si>
  <si>
    <t>History of the Arabic Written Tradition Volume 2</t>
  </si>
  <si>
    <t>Dictionary of the Ben Cao Gang Mu, Volume 2 : Geographical and Administrative Designations</t>
  </si>
  <si>
    <t>Oxford Handbook of Emergency Nursing</t>
  </si>
  <si>
    <t>History of the Arabic Written Tradition Volume 1</t>
  </si>
  <si>
    <t>The Science of Managing Our Digital Stuff</t>
  </si>
  <si>
    <t>Concise Encyclopedia of Comparative Sociology</t>
  </si>
  <si>
    <t>A Grammar of RGyalrong, Jiǎomùzú (Kyom-Kyo) Dialects : A Web of Relations</t>
  </si>
  <si>
    <t>Doing Business in Russia, Volume I : A Concise Guide</t>
  </si>
  <si>
    <t>The Encyclopedia of British Film : Fourth Edition</t>
  </si>
  <si>
    <t>Mammoth Cave Curiosities : A Guide to Rockphobia, Dating, Saber-Toothed Cats, and Other Subterranean Marvels</t>
  </si>
  <si>
    <t>From Vines to Wines in Classical Rome : A Handbook of Viticulture and Oenology in Rome and the Roman West</t>
  </si>
  <si>
    <t>Karaite Judaism : A Guide to Its History and Literary Sources</t>
  </si>
  <si>
    <t>Oxford Handbook of Midwifery</t>
  </si>
  <si>
    <t>Financial Aid Handbook, Revised Edition : Getting the Education You Want for the Price You Can Afford</t>
  </si>
  <si>
    <t>Get a Grip on Your Grammar : 250 Writing and Editing Reminders for the Curious or Confused</t>
  </si>
  <si>
    <t>A Companion to the Greek Lyric Poets</t>
  </si>
  <si>
    <t>The Skills Training Manual for Radically Open Dialectical Behavior Therapy : A Clinician's Guide for Treating Disorders of Overcontrol</t>
  </si>
  <si>
    <t>Directory of Scholarly Journals in Turkey</t>
  </si>
  <si>
    <t>French XX Bibliography, issue #67 : A Bibliography for the Study of French Literature and Culture Since 1885</t>
  </si>
  <si>
    <t>Encyclopedia of Cryptozoology : A Global Guide to Hidden Animals and Their Pursuers</t>
  </si>
  <si>
    <t>A Multilingual Dictionary of Maxims and Proverbs</t>
  </si>
  <si>
    <t>The American Sign Language Handshape Starter : A Beginner's Guide</t>
  </si>
  <si>
    <t>Bibliography of Natural History Travel Narratives</t>
  </si>
  <si>
    <t>Old English Words and Terms : A Glossary for Historians</t>
  </si>
  <si>
    <t>Commonly Misspelled and Confused Words : QuickStudy Reference Guide</t>
  </si>
  <si>
    <t>Merriam-Webster's Concise Dictionary of English Usage</t>
  </si>
  <si>
    <t>Encyclopedia of American Women and Religion : [2 Volumes]</t>
  </si>
  <si>
    <t>Biomedical Engineering Dictionary of Technical Terms and Phrases : English to Arabic and Arabic to English</t>
  </si>
  <si>
    <t>Encyclopedia of Nursing Research</t>
  </si>
  <si>
    <t>The Chicago Food Encyclopedia</t>
  </si>
  <si>
    <t>History of the Arabic Written Tradition Supplement Volume 1</t>
  </si>
  <si>
    <t>Etiquette and Taboos Around the World : A Geographic Encyclopedia of Social and Cultural Customs</t>
  </si>
  <si>
    <t>European Employment Law : A Brief Guide to the Essential Elements</t>
  </si>
  <si>
    <t>Brill's Companion to Anarchism and Philosophy</t>
  </si>
  <si>
    <t>The Good, the Great, and the Unfriendly : A Librarian's Guide to Working with Friends Groups</t>
  </si>
  <si>
    <t>Environmental Engineering Dictionary of Technical Terms and Phrases : English to Hungarian and Hungarian to English</t>
  </si>
  <si>
    <t>Cross-Selling Financial Services : A Professional's Guide to Account Development</t>
  </si>
  <si>
    <t>A Guide to Mastery in Clinical Nursing : The Comprehensive Reference</t>
  </si>
  <si>
    <t>The Encyclopedia of Elder Care : The Comprehensive Resource on Geriatric Health and Social Care</t>
  </si>
  <si>
    <t>History of the Arabic Written Tradition Supplement Volume 2</t>
  </si>
  <si>
    <t>Environmental Engineering Dictionary of Technical Terms and Phrases : English to Greek and Greek to English</t>
  </si>
  <si>
    <t>The Pocket Universal Principles of Art : 100 Key Concepts for Understanding, Analyzing, and Practicing Art</t>
  </si>
  <si>
    <t>Eye Pathology : An Atlas and Text</t>
  </si>
  <si>
    <t>Texas Almanac 2018-2019</t>
  </si>
  <si>
    <t>The Government Manager's Guide to Plain Language</t>
  </si>
  <si>
    <t>The Certified Six Sigma Green Belt Handbook</t>
  </si>
  <si>
    <t>Dictionary of the Ben Cao Gang Mu, Volume 3 : Persons and Literary Sources</t>
  </si>
  <si>
    <t>A North Country Almanac : Reflections of an Old-School Conservationist in a Modern World</t>
  </si>
  <si>
    <t>The Roman Empire : A Historical Encyclopedia [2 Volumes]</t>
  </si>
  <si>
    <t>The 1960s : Key Themes and Documents</t>
  </si>
  <si>
    <t>Guide to Canadian Venture Capital and Private Equity Firms</t>
  </si>
  <si>
    <t>Handbook of Denominations in the United States, 14th Edition</t>
  </si>
  <si>
    <t>Evaluating Scholarship and Research Impact : History, Practices, and Policy Development</t>
  </si>
  <si>
    <t>Dictionary of Digital Pictograms and Glossary for Internet Use and Portable Telephones</t>
  </si>
  <si>
    <t>Latin Grammar : A QuickStudy Language Reference Guide</t>
  </si>
  <si>
    <t>Pseudophakic Monovision : A Clinical Guide</t>
  </si>
  <si>
    <t>Emotion and the Researcher : Sites, Subjectivities, and Relationships</t>
  </si>
  <si>
    <t>Carl Strehlow's 1909 Comparative Heritage Dictionary : An Aranda, German, Loritja and Dieri to English Dictionary with Introductory Essays</t>
  </si>
  <si>
    <t>Dictionary of Indo-European Concepts and Society</t>
  </si>
  <si>
    <t>Copyright for Music Teachers</t>
  </si>
  <si>
    <t>Copyright and Publishers</t>
  </si>
  <si>
    <t>Annotated Bibliography of Southern American English</t>
  </si>
  <si>
    <t>MemoryBanc : Your Workbook for Organizing Life: the Award-Winning System to Manage Your Documents, Accounts, and Assets</t>
  </si>
  <si>
    <t>The Urban Rail Development Handbook</t>
  </si>
  <si>
    <t>Emblems in Scotland : Motifs and Meanings</t>
  </si>
  <si>
    <t>German Verbs : A QuickStudy Language Reference Guide</t>
  </si>
  <si>
    <t>Spanish for Pediatric Medicine : A Practical Communication Guide</t>
  </si>
  <si>
    <t>Handbook of Jewish Languages : Revised and Updated Edition</t>
  </si>
  <si>
    <t>America's Top-Rated Cities: a Statistical Handbook 2018</t>
  </si>
  <si>
    <t>Encyclopedia of Women in World Religions : Faith and Culture Across History [2 Volumes]</t>
  </si>
  <si>
    <t>Brill's Companion to Classics and Early Anthropology</t>
  </si>
  <si>
    <t>The Governor General's Literary Awards of Canada : A Bibliography</t>
  </si>
  <si>
    <t>Implantable Hearing Devices</t>
  </si>
  <si>
    <t>How to Get Grant Money in the Humanities and Social Sciences</t>
  </si>
  <si>
    <t>Cosmetic Injection Techniques : A Text and Video Guide to Neurotoxins and Fillers</t>
  </si>
  <si>
    <t>Handbook of Pragmatics : 2017-2018 Installment</t>
  </si>
  <si>
    <t>Dictionary of Education and Assessment in Translation and Interpreting Studies (TIS)</t>
  </si>
  <si>
    <t>Spine Essentials Handbook : A Bulleted Review of Anatomy, Evaluation, Imaging, Tests, and Procedures</t>
  </si>
  <si>
    <t>An English-Romanian and Romanian-English Cultural Thematic Dictionary</t>
  </si>
  <si>
    <t>The Language of the Arts and Literature : An English-Romanian and Romanian-English Dictionary</t>
  </si>
  <si>
    <t>Voice and Communication Therapy for the Transgender/Gender Diverse Client : A Comprehensive Clinical Guide</t>
  </si>
  <si>
    <t>Dysphagia Following Stroke</t>
  </si>
  <si>
    <t>Canadian Almanac and Directory 2019</t>
  </si>
  <si>
    <t>Hearing Aid Dispensing Training Manual : Second Edition</t>
  </si>
  <si>
    <t>Comprehensive Dictionary of Audiology : Illustrated</t>
  </si>
  <si>
    <t>The SIS Football Rookie Handbook 2019 : Comprehensive Scouting and Analysis Guide</t>
  </si>
  <si>
    <t>Freshwater Mollusks of the World : A Distribution Atlas</t>
  </si>
  <si>
    <t>Close Reading with Computers : Textual Scholarship, Computational Formalism, and David Mitchell's Cloud Atlas</t>
  </si>
  <si>
    <t>Sears List of Subject Headings, 22nd Edition</t>
  </si>
  <si>
    <t>Freud Verbatim : Quotations and Aphorisms</t>
  </si>
  <si>
    <t>Applications of Good Psychiatric Management for Borderline Personality Disorder : A Practical Guide</t>
  </si>
  <si>
    <t>Plotted : A Literary Atlas</t>
  </si>
  <si>
    <t>Consuming and Producing Research in Communication Sciences and Disorders</t>
  </si>
  <si>
    <t>A Companion to Medieval Translation</t>
  </si>
  <si>
    <t>Manx Crosses: a Handbook of Stone Sculpture 500-1040 in the Isle of Man</t>
  </si>
  <si>
    <t>The Churchill Companion : A Concise Guide to the Life and Times of Winston S. Churchill</t>
  </si>
  <si>
    <t>Endoscopic Transnasal Anatomy of the Skull Base and Adjacent Areas : A Lab Dissection and Radiological Atlas</t>
  </si>
  <si>
    <t>Digital Research Methods in Fashion and Textile Studies</t>
  </si>
  <si>
    <t>Operative Techniques in Gynecologic Surgery : Urogynecology</t>
  </si>
  <si>
    <t>Handbook of Narrative Analysis</t>
  </si>
  <si>
    <t>Building an Effective Cybersecurity Program, 2nd Edition</t>
  </si>
  <si>
    <t>Ultimate Bible Dictionary : A Quick and Concise Guide to the People, Places, Objects, and Events in the Bible</t>
  </si>
  <si>
    <t>World History As the History of Foundations, 3000 BCE to 1500 CE</t>
  </si>
  <si>
    <t>A Handbook to Old Testament Exegesis</t>
  </si>
  <si>
    <t>Research Methods for Complexity Theory in Applied Linguistics</t>
  </si>
  <si>
    <t>A Handbook of Nuclear Applications in Humans' Lives</t>
  </si>
  <si>
    <t>Manual of Egyptian Archaeology and Guide to the Study of Antiquities in Egypt</t>
  </si>
  <si>
    <t>The Pianist's Dictionary</t>
  </si>
  <si>
    <t>Citizen Power : A Citizen Leadership Manual Introducing the Art of No-Blame Problem Solving</t>
  </si>
  <si>
    <t>A Concise Dictionary of Theological Terms</t>
  </si>
  <si>
    <t>The Anecdotal Narration and Encyclopedic Thought of Pliny the Elder's Naturalis Historia</t>
  </si>
  <si>
    <t>A Local Perspective on Lexicography : Dictionary Research, Practice, and Use in Romania</t>
  </si>
  <si>
    <t>Dictionary of the Ponca People</t>
  </si>
  <si>
    <t>Atlas of Neurometabolic Disorders</t>
  </si>
  <si>
    <t>Ethnographic Fieldwork : A Beginner's Guide</t>
  </si>
  <si>
    <t>Pediatric Cardiac Postoperative Handbook</t>
  </si>
  <si>
    <t>A Grammar of Makary Kotoko</t>
  </si>
  <si>
    <t>Encyclopedia of American Short Films, 1926-1959</t>
  </si>
  <si>
    <t>Dictionary of World Monasticism</t>
  </si>
  <si>
    <t>Grammar of Central Trentino : A Romance Dialect from North-East Italy</t>
  </si>
  <si>
    <t>Texas Almanac 2020-2021</t>
  </si>
  <si>
    <t>Miziker's Complete Event Planner's Handbook : Tips, Terminology, and Techniques for Success</t>
  </si>
  <si>
    <t>The Geopolitical Black Sea Encyclopaedia</t>
  </si>
  <si>
    <t>Researching Language in Superdiverse Urban Contexts : Exploring Methodological and Theoretical Concepts</t>
  </si>
  <si>
    <t>The ISO 45001:2018 Implementation Handbook : Guidance on Building an Occupational Health and Safety Management System</t>
  </si>
  <si>
    <t>A Grammar of Lopit : An Eastern Nilotic Language of South Sudan</t>
  </si>
  <si>
    <t>Dictionary of French Family Names in North America : Onomastics and Genealogy</t>
  </si>
  <si>
    <t>Milestone Documents in American History : Exploring the Primary Sources That Shaped America</t>
  </si>
  <si>
    <t>A Grammar of Murui (Bue) : A Witotoan Language from Northwest Amazonia</t>
  </si>
  <si>
    <t>The Handbook of Hand Emergencies</t>
  </si>
  <si>
    <t>A Latin Lexicon: an Illustrated Compendium of Latin Words and English Derivatives</t>
  </si>
  <si>
    <t>Dictionary of Arabic Loanwords in the Languages of Central and East Africa</t>
  </si>
  <si>
    <t>Encyclopedia of Critical Whiteness Studies in Education</t>
  </si>
  <si>
    <t>Encyclopedia of the United States Cabinet</t>
  </si>
  <si>
    <t>The Religious Right and American Politics</t>
  </si>
  <si>
    <t>From Suffrage to the Senate : America's Political Women: an Encyclopedia of Leader, Causes and Issues</t>
  </si>
  <si>
    <t>The Death Penalty</t>
  </si>
  <si>
    <t>The Handbook of New Zealand Mammals</t>
  </si>
  <si>
    <t>A Dictionary of the Safaitic Inscriptions</t>
  </si>
  <si>
    <t>A Grammar of Giziga : A Chadic Language of Far North Cameroon</t>
  </si>
  <si>
    <t>Canadian Venture Capital and Private Equity Firms 2020</t>
  </si>
  <si>
    <t>Canadian Almanac and Directory 2020</t>
  </si>
  <si>
    <t>Autoimmune Diseases Handbook and Resource Guide</t>
  </si>
  <si>
    <t>Cardiovascular Disease Handbook and Resource Guide</t>
  </si>
  <si>
    <t>QuickRef Orthopaedic Procedures Atlas</t>
  </si>
  <si>
    <t>Masithethisane Ngempilo NgesiXhosa : Let's Talk about Health | Kom Ons Praat Oor Gesondheid | in IsiXhosa</t>
  </si>
  <si>
    <t>Kandahar in the Nineteenth Century</t>
  </si>
  <si>
    <t>A Grammar of May : An Austroasiatic Language of Vietnam</t>
  </si>
  <si>
    <t>A Grammar of Mursi : A Nilo-Saharan Language of Ethiopia</t>
  </si>
  <si>
    <t>Guide to Canadian Venture Capital and Private Equity Firms 2021</t>
  </si>
  <si>
    <t>A Handbook on Stuttering</t>
  </si>
  <si>
    <t>Audiological Research over Six Decades</t>
  </si>
  <si>
    <t>Handbook for Principles and Practice of Gynecologic Oncology</t>
  </si>
  <si>
    <t>Psychopharmacology : A Mental Health Professional's Guide to Commonly Used Medications</t>
  </si>
  <si>
    <t>The Special Collections Handbook</t>
  </si>
  <si>
    <t>Otolaryngology-Head and Neck Surgery : Clinical Reference Guide</t>
  </si>
  <si>
    <t>A Handbook for African Mother-Tongue Bible Translators</t>
  </si>
  <si>
    <t>The Essential Guide to Coding in Otolaryngology : Coding, Billing, and Practice Management</t>
  </si>
  <si>
    <t>Airplane Flying Handbook (2025) : Faa-H-8083-3c</t>
  </si>
  <si>
    <t>A Handbook of Persian Calligraphy and Related Arts</t>
  </si>
  <si>
    <t>A Dictionary of Vurës, Vanuatu</t>
  </si>
  <si>
    <t>Rote-Meto Comparative Dictionary</t>
  </si>
  <si>
    <t>Wampar-English Dictionary with an English-Wampar Finder List</t>
  </si>
  <si>
    <t>Reading Śiva : An Illustrated Selection from the ABIA Online Bibliography on the Arts and Material Culture of South and Southeast Asia</t>
  </si>
  <si>
    <t>Texas Almanac 2022-2023</t>
  </si>
  <si>
    <t>The Archaeological Dictionary: English-Greek/Greek-English</t>
  </si>
  <si>
    <t>A Grammar of Bjokapakha</t>
  </si>
  <si>
    <t>The Massachusetts General Hospital Handbook of Pain Management</t>
  </si>
  <si>
    <t>Basic Concepts of Clinical Electrophysiology in Audiology</t>
  </si>
  <si>
    <t>Encyclopedia of Queer Studies in Education</t>
  </si>
  <si>
    <t>Nutrition, Obesity and Eating Disorders Handbook and Resource Guide</t>
  </si>
  <si>
    <t>Myanmar (Burma) since the 1988 Uprising : A Select Bibliography, 4th Edition</t>
  </si>
  <si>
    <t>The Politics of Researching Multilingually</t>
  </si>
  <si>
    <t>Encyclopedia of Cat Breeds</t>
  </si>
  <si>
    <t>Encyclopedia of Dog Breeds</t>
  </si>
  <si>
    <t>Clinical Management of Children with Cochlear Implants</t>
  </si>
  <si>
    <t>Rapid Interpretation of Balance Function Tests</t>
  </si>
  <si>
    <t>Video Atlas of Neurophysiological Monitoring in Surgery of Infiltrating Brain Tumors</t>
  </si>
  <si>
    <t>A Dictionary of Persian Grammar</t>
  </si>
  <si>
    <t>A Grammar of Old Assyrian</t>
  </si>
  <si>
    <t>AIA Guide to Chicago</t>
  </si>
  <si>
    <t>Digital Medieval Studies--Practice and Preservation</t>
  </si>
  <si>
    <t>Language, Literacy, and Learning : Theory and Application</t>
  </si>
  <si>
    <t>Introduction to Language Development</t>
  </si>
  <si>
    <t>Encyclopedia of Early Texas History : A Compendium of Texas Antiquity for the Inquisitive Mind</t>
  </si>
  <si>
    <t>ATD's Handbook for Training and Talent Development</t>
  </si>
  <si>
    <t>The Financial Spread Betting Handbook, 3rd Edition : The Definitive Guide to Making Money Trading Spread Bets</t>
  </si>
  <si>
    <t>Handbook of Accessible Communication</t>
  </si>
  <si>
    <t>Grammar of Khuzestani Arabic : A Spoken Variety of South-West Iran</t>
  </si>
  <si>
    <t>A Grammar of Dolgan : A Northern Siberian Turkic Language of the Taimyr Peninsula</t>
  </si>
  <si>
    <t>A Companion to Comparative Theology</t>
  </si>
  <si>
    <t>Gija Dictionary</t>
  </si>
  <si>
    <t>Encyclopedia of Ocean Law and Policy in Asia-Pacific</t>
  </si>
  <si>
    <t>Handbook of Japanese Media and Popular Culture in Transition</t>
  </si>
  <si>
    <t>Handbook of Japanese Christian Writers</t>
  </si>
  <si>
    <t>A Dictionary of Early Middle Turkic</t>
  </si>
  <si>
    <t>Canadian Venture Capital and Private Equity Firms 2022</t>
  </si>
  <si>
    <t>The Autism Spectrum Handbook and Resource Guide</t>
  </si>
  <si>
    <t>A Biographical Dictionary of Early American Jews : Colonial Times Through 1800</t>
  </si>
  <si>
    <t>The Grim Reader : A Pharmacist's Guide to Putting Your Characters in Peril</t>
  </si>
  <si>
    <t>The Schlager Anthology of Women's History : A Student's Guide to Essential Primary Sources</t>
  </si>
  <si>
    <t>Fundamentals of Solidification 5th Edition with Solutions Manual</t>
  </si>
  <si>
    <t>A Biographical Dictionary of Contributors to the Natural History of the Free State and Lesotho</t>
  </si>
  <si>
    <t>Field Methods for Academic Research : Interviews, Focus Groups and Questionnaires in Business and Management Studies</t>
  </si>
  <si>
    <t>Encyclopedia of Invasions and Conquests, Fourth Edition</t>
  </si>
  <si>
    <t>Canadian Venture Capital and Private Equity Firms 2023</t>
  </si>
  <si>
    <t>SAE International's Dictionary of Testing, Verification, and Validation</t>
  </si>
  <si>
    <t>Psychoacoustics : Auditory Perception of Listeners with Normal Hearing and Hearing Loss</t>
  </si>
  <si>
    <t>Handbook of Flipping Classrooms for Second and Foreign Language Instruction</t>
  </si>
  <si>
    <t>Handbook of Japan-Russia Relations</t>
  </si>
  <si>
    <t>The Urban Education Sourcebook on Instruction and Supervision</t>
  </si>
  <si>
    <t>SAE International's Dictionary of Commercial Vehicles</t>
  </si>
  <si>
    <t>Digital Medieval Studies--Experimentation and Innovation</t>
  </si>
  <si>
    <t>Political Dictionary for the Field of Narrative Practice</t>
  </si>
  <si>
    <t>The Handbook of Eating, Drinking and Swallowing Problems in Adults with Fibromyalgia</t>
  </si>
  <si>
    <t>The ASQ Certified Pharmaceutical GMP Professional Handbook</t>
  </si>
  <si>
    <t>The ASQ Certified Software Quality Engineer Handbook</t>
  </si>
  <si>
    <t>Therapy Outcome Measure Handbook : Theory, User Guide and Scales</t>
  </si>
  <si>
    <t>Taylor &amp; Francis Group</t>
  </si>
  <si>
    <t>John Wiley &amp; Sons, Incorporated</t>
  </si>
  <si>
    <t>Cambridge University Press</t>
  </si>
  <si>
    <t>Emerald Publishing Limited</t>
  </si>
  <si>
    <t>Palgrave Macmillan UK</t>
  </si>
  <si>
    <t>SAGE Publications, Limited</t>
  </si>
  <si>
    <t>International Labour Office</t>
  </si>
  <si>
    <t>Encyclopaedia Britannica, Incorporated</t>
  </si>
  <si>
    <t>Springer Publishing Company, Incorporated</t>
  </si>
  <si>
    <t>BRILL</t>
  </si>
  <si>
    <t>Center for Creative Leadership</t>
  </si>
  <si>
    <t>University of Chicago Press</t>
  </si>
  <si>
    <t>McFarland &amp; Company, Incorporated Publishers</t>
  </si>
  <si>
    <t>Oxford University Press, Incorporated</t>
  </si>
  <si>
    <t>IT Governance Ltd</t>
  </si>
  <si>
    <t>Palgrave Macmillan</t>
  </si>
  <si>
    <t>Rosen Publishing Group</t>
  </si>
  <si>
    <t>Hong Kong University Press</t>
  </si>
  <si>
    <t>World Scientific Publishing Company</t>
  </si>
  <si>
    <t>Oxford University Press</t>
  </si>
  <si>
    <t>New York University Press</t>
  </si>
  <si>
    <t>Bloomsbury Publishing USA</t>
  </si>
  <si>
    <t>Columbia University Press</t>
  </si>
  <si>
    <t>R. S. Means Company, Incorporated</t>
  </si>
  <si>
    <t>SAGE Publications, Incorporated</t>
  </si>
  <si>
    <t>Jewish Publication Society</t>
  </si>
  <si>
    <t>De Gruyter, Inc.</t>
  </si>
  <si>
    <t>World Bank Publications</t>
  </si>
  <si>
    <t>Monthly Review Press</t>
  </si>
  <si>
    <t>Royal Society of Chemistry, The</t>
  </si>
  <si>
    <t>Princeton University Press</t>
  </si>
  <si>
    <t>NewSouth Publishing</t>
  </si>
  <si>
    <t>Indiana University Press</t>
  </si>
  <si>
    <t>American Library Association</t>
  </si>
  <si>
    <t>Artech House</t>
  </si>
  <si>
    <t>Bloomsbury Publishing Plc</t>
  </si>
  <si>
    <t>University of California Press</t>
  </si>
  <si>
    <t>Goodfellow Publishers, Limited</t>
  </si>
  <si>
    <t>Rutgers University Press</t>
  </si>
  <si>
    <t>Open Road Integrated Media, Inc.</t>
  </si>
  <si>
    <t>Barbour Publishing, Inc.</t>
  </si>
  <si>
    <t>Laurence King Publishing</t>
  </si>
  <si>
    <t>American Counseling Association</t>
  </si>
  <si>
    <t>Plural Publishing, Incorporated</t>
  </si>
  <si>
    <t>University Press of Kentucky</t>
  </si>
  <si>
    <t>InterVarsity Press</t>
  </si>
  <si>
    <t>Gwasg Prifysgol Cymru / University of Wales Press</t>
  </si>
  <si>
    <t>Countryside Books</t>
  </si>
  <si>
    <t>Atlantic Publishing Group</t>
  </si>
  <si>
    <t>McFarland &amp; Company, Inc., Publishers</t>
  </si>
  <si>
    <t>Nova Science Publishers, Incorporated</t>
  </si>
  <si>
    <t>University of Nebraska Press</t>
  </si>
  <si>
    <t>American Water Works Association</t>
  </si>
  <si>
    <t>Editorial Castilla La Vieja</t>
  </si>
  <si>
    <t>Cornell University Press</t>
  </si>
  <si>
    <t>The Fairmont Press, Inc.</t>
  </si>
  <si>
    <t>Grey House Publishing</t>
  </si>
  <si>
    <t>Information Today, Inc.</t>
  </si>
  <si>
    <t>Johns Hopkins University Press</t>
  </si>
  <si>
    <t>Marshall Cavendish</t>
  </si>
  <si>
    <t>MIT Press</t>
  </si>
  <si>
    <t>GCBII Productions, LLC</t>
  </si>
  <si>
    <t>New Internationalist Publications, Limited</t>
  </si>
  <si>
    <t>Omnigraphics, Incorporated</t>
  </si>
  <si>
    <t>Quarto Publishing Group USA</t>
  </si>
  <si>
    <t>University of Illinois Press</t>
  </si>
  <si>
    <t>Yale University Press</t>
  </si>
  <si>
    <t>ANU Press</t>
  </si>
  <si>
    <t>Knowres Publishing</t>
  </si>
  <si>
    <t>AMACOM</t>
  </si>
  <si>
    <t>John Benjamins Publishing Company</t>
  </si>
  <si>
    <t>McGill-Queen's University Press</t>
  </si>
  <si>
    <t>University of South Carolina Press</t>
  </si>
  <si>
    <t>Marshall Cavendish International (Asia) Private Limited</t>
  </si>
  <si>
    <t>Naval Institute Press</t>
  </si>
  <si>
    <t>Book Sales, Incorporated</t>
  </si>
  <si>
    <t>University of Toronto Press</t>
  </si>
  <si>
    <t>Stanford University Press</t>
  </si>
  <si>
    <t>Texas State Historical Association</t>
  </si>
  <si>
    <t>Multilingual Matters</t>
  </si>
  <si>
    <t>Business Expert Press</t>
  </si>
  <si>
    <t>Manchester University Press</t>
  </si>
  <si>
    <t>Red Wheel/Weiser</t>
  </si>
  <si>
    <t>Context Press</t>
  </si>
  <si>
    <t>Cambridge Scholars Publishing</t>
  </si>
  <si>
    <t>Associated University Presses</t>
  </si>
  <si>
    <t>Gallaudet University Press</t>
  </si>
  <si>
    <t>Koninklijke Nederlandse Natuurhistorische Vereniging, Stichting Uitgeverij</t>
  </si>
  <si>
    <t>BarCharts Publishing,  Inc.</t>
  </si>
  <si>
    <t>Merriam-Webster, Incorporated</t>
  </si>
  <si>
    <t>Momentum Press</t>
  </si>
  <si>
    <t>Wolters Kluwer</t>
  </si>
  <si>
    <t>Berrett-Koehler Publishers, Incorporated</t>
  </si>
  <si>
    <t>Quality Press</t>
  </si>
  <si>
    <t>Michigan State University Press</t>
  </si>
  <si>
    <t>Grey House Publishing Canada</t>
  </si>
  <si>
    <t>Abingdon Press</t>
  </si>
  <si>
    <t>Thieme Medical Publishers, Incorporated</t>
  </si>
  <si>
    <t>Hawoo Publishing Company</t>
  </si>
  <si>
    <t>Australian Copyright Council</t>
  </si>
  <si>
    <t>University of Alabama Press</t>
  </si>
  <si>
    <t>Morgan James Publishing</t>
  </si>
  <si>
    <t>American Academy of Pediatrics</t>
  </si>
  <si>
    <t>University of Ottawa Press/Les Presses de l'Universite d'Ottawa</t>
  </si>
  <si>
    <t>ACTA Sports</t>
  </si>
  <si>
    <t>H.W. Wilson</t>
  </si>
  <si>
    <t>Abrams, Inc.</t>
  </si>
  <si>
    <t>American Psychiatric Association Publishing</t>
  </si>
  <si>
    <t>Lerner Publishing Group</t>
  </si>
  <si>
    <t>Arc Humanities Press</t>
  </si>
  <si>
    <t>Archaeopress</t>
  </si>
  <si>
    <t>RosettaBooks</t>
  </si>
  <si>
    <t>Rothstein Associates, Incorporated</t>
  </si>
  <si>
    <t>B&amp;H Publishing Group</t>
  </si>
  <si>
    <t>Westminster John Knox Press</t>
  </si>
  <si>
    <t>University of New Mexico Press</t>
  </si>
  <si>
    <t>Schlager Group, Incorporated</t>
  </si>
  <si>
    <t>CSIRO Publishing</t>
  </si>
  <si>
    <t>Wolters Kluwer Health</t>
  </si>
  <si>
    <t>African Sun Media</t>
  </si>
  <si>
    <t>Facet Publishing</t>
  </si>
  <si>
    <t>Vernon Art and Science Inc.</t>
  </si>
  <si>
    <t>Aviation Supplies &amp; Academics, Incorporated</t>
  </si>
  <si>
    <t>ISEAS - Yusof Ishak Institute</t>
  </si>
  <si>
    <t>Sourcebooks, Incorporated</t>
  </si>
  <si>
    <t>History Press Limited, The</t>
  </si>
  <si>
    <t>American Society for Training &amp; Development</t>
  </si>
  <si>
    <t>Harriman House Publishing</t>
  </si>
  <si>
    <t>Frank &amp; Timme</t>
  </si>
  <si>
    <t>Aboriginal Studies Press</t>
  </si>
  <si>
    <t>Red Lightning Books</t>
  </si>
  <si>
    <t>Trans Tech Publications, Limited</t>
  </si>
  <si>
    <t>UJ Press</t>
  </si>
  <si>
    <t>University Press of University of Johannesburg</t>
  </si>
  <si>
    <t>SAE International</t>
  </si>
  <si>
    <t>Dulwich Centre Publications</t>
  </si>
  <si>
    <t>J &amp; R Press Limited</t>
  </si>
  <si>
    <t>Book</t>
  </si>
  <si>
    <t>Literature</t>
  </si>
  <si>
    <t>Business/Management</t>
  </si>
  <si>
    <t>Fine Arts</t>
  </si>
  <si>
    <t>Science; Science: Zoology</t>
  </si>
  <si>
    <t>History</t>
  </si>
  <si>
    <t>Social Science</t>
  </si>
  <si>
    <t>Social Science; Psychology</t>
  </si>
  <si>
    <t>Science; Science: Astronomy</t>
  </si>
  <si>
    <t>Philosophy; Psychology</t>
  </si>
  <si>
    <t>Mathematics</t>
  </si>
  <si>
    <t>Religion</t>
  </si>
  <si>
    <t>Science: Physics; Science</t>
  </si>
  <si>
    <t>Philosophy</t>
  </si>
  <si>
    <t>Economics; Sport &amp;amp; Recreation; Business/Management</t>
  </si>
  <si>
    <t>Psychology; Medicine</t>
  </si>
  <si>
    <t>Medicine</t>
  </si>
  <si>
    <t>Political Science</t>
  </si>
  <si>
    <t>History; Social Science</t>
  </si>
  <si>
    <t>Science: Biology/Natural History; Engineering; Science; Engineering: Chemical</t>
  </si>
  <si>
    <t>Science: Physics; Science; Science: Biology/Natural History</t>
  </si>
  <si>
    <t>Medicine; Psychology</t>
  </si>
  <si>
    <t>Law</t>
  </si>
  <si>
    <t>Juvenile Literature; General Works/Reference</t>
  </si>
  <si>
    <t>Language/Linguistics; Philosophy</t>
  </si>
  <si>
    <t>Science: Botany; Science</t>
  </si>
  <si>
    <t>Sport &amp;amp; Recreation</t>
  </si>
  <si>
    <t>Science: Astronomy; Science</t>
  </si>
  <si>
    <t>Social Science; Education</t>
  </si>
  <si>
    <t>General Works/Reference; Social Science</t>
  </si>
  <si>
    <t>Business/Management; Social Science</t>
  </si>
  <si>
    <t>Environmental Studies</t>
  </si>
  <si>
    <t>Philosophy; Business/Management</t>
  </si>
  <si>
    <t>Language/Linguistics</t>
  </si>
  <si>
    <t>Psychology</t>
  </si>
  <si>
    <t>Social Science; Medicine; Health</t>
  </si>
  <si>
    <t>Sport &amp;amp; Recreation; Social Science</t>
  </si>
  <si>
    <t>Education</t>
  </si>
  <si>
    <t>Engineering; Engineering: General; Engineering: Chemical</t>
  </si>
  <si>
    <t>History; Military Science</t>
  </si>
  <si>
    <t>Pharmacy; Medicine</t>
  </si>
  <si>
    <t>Medicine; Health</t>
  </si>
  <si>
    <t>General Works/Reference</t>
  </si>
  <si>
    <t>Social Science; Economics</t>
  </si>
  <si>
    <t>Law; Literature</t>
  </si>
  <si>
    <t>Business/Management; Psychology</t>
  </si>
  <si>
    <t>Social Science; Medicine; Psychology; Health</t>
  </si>
  <si>
    <t>Economics; Business/Management</t>
  </si>
  <si>
    <t>General Works/Reference; Juvenile Literature</t>
  </si>
  <si>
    <t>Geography/Travel; Literature</t>
  </si>
  <si>
    <t>Science: Biology/Natural History; Science</t>
  </si>
  <si>
    <t>Environmental Studies; Economics</t>
  </si>
  <si>
    <t>Religion; Social Science</t>
  </si>
  <si>
    <t>Health; Social Science</t>
  </si>
  <si>
    <t>Medicine; Social Science; Health</t>
  </si>
  <si>
    <t>Medicine; Science; Science: Biology/Natural History</t>
  </si>
  <si>
    <t>Science; Social Science; Science: Biology/Natural History</t>
  </si>
  <si>
    <t>Computer Science/IT</t>
  </si>
  <si>
    <t>Science: Biology/Natural History; Science: Botany; Science</t>
  </si>
  <si>
    <t>Medicine; Social Science</t>
  </si>
  <si>
    <t>Geography/Travel; History</t>
  </si>
  <si>
    <t>History; Juvenile Literature</t>
  </si>
  <si>
    <t>General Works/Reference; History</t>
  </si>
  <si>
    <t>Fiction; Literature</t>
  </si>
  <si>
    <t>Medicine; Health; Social Science; Psychology</t>
  </si>
  <si>
    <t>Science; Science: General</t>
  </si>
  <si>
    <t>Science; Science: Biology/Natural History</t>
  </si>
  <si>
    <t>Literature; Psychology</t>
  </si>
  <si>
    <t>Science: Zoology; Science</t>
  </si>
  <si>
    <t>Science: Astronomy; Engineering; Science; Engineering: General</t>
  </si>
  <si>
    <t>Geography/Travel</t>
  </si>
  <si>
    <t>Engineering; Engineering: Construction</t>
  </si>
  <si>
    <t>Language/Linguistics; Social Science</t>
  </si>
  <si>
    <t>Psychology; Social Science</t>
  </si>
  <si>
    <t>Environmental Studies; Social Science</t>
  </si>
  <si>
    <t>Philosophy; Religion</t>
  </si>
  <si>
    <t>Philosophy; Science: Biology/Natural History; Science</t>
  </si>
  <si>
    <t>Social Science; Medicine</t>
  </si>
  <si>
    <t>Education; Language/Linguistics</t>
  </si>
  <si>
    <t>Education; Literature</t>
  </si>
  <si>
    <t>Science: Geology; Science</t>
  </si>
  <si>
    <t>Political Science; History</t>
  </si>
  <si>
    <t>Science; Science: Anatomy/Physiology; Science: Biology/Natural History</t>
  </si>
  <si>
    <t>Engineering: Mechanical; Engineering: General; Engineering</t>
  </si>
  <si>
    <t>Engineering: Chemical; Engineering</t>
  </si>
  <si>
    <t>Museums</t>
  </si>
  <si>
    <t>Political Science; Social Science</t>
  </si>
  <si>
    <t>Military Science</t>
  </si>
  <si>
    <t>History; Literature</t>
  </si>
  <si>
    <t>Literature; Engineering; Engineering: General</t>
  </si>
  <si>
    <t>Medicine; Science: Biology/Natural History; Science</t>
  </si>
  <si>
    <t>Engineering; Engineering: Chemical</t>
  </si>
  <si>
    <t>Social Science; Health; Medicine</t>
  </si>
  <si>
    <t>Business/Management; Economics; Agriculture</t>
  </si>
  <si>
    <t>History; Political Science</t>
  </si>
  <si>
    <t>Engineering: Civil; Engineering</t>
  </si>
  <si>
    <t>Social Science; Health</t>
  </si>
  <si>
    <t>Health; Social Science; Medicine; Psychology</t>
  </si>
  <si>
    <t>Engineering: Mechanical; Economics; Engineering; Environmental Studies</t>
  </si>
  <si>
    <t>Religion; Language/Linguistics</t>
  </si>
  <si>
    <t>Health; Science; Science: Biology/Natural History</t>
  </si>
  <si>
    <t>Agriculture; Science: Biology/Natural History; Science</t>
  </si>
  <si>
    <t>Science</t>
  </si>
  <si>
    <t>Geography/Travel; Social Science</t>
  </si>
  <si>
    <t>Social Science; Environmental Studies</t>
  </si>
  <si>
    <t>Science; Engineering: Chemical; Science: Biology/Natural History; Engineering</t>
  </si>
  <si>
    <t>Engineering: Manufacturing; Engineering</t>
  </si>
  <si>
    <t>Business/Management; Economics</t>
  </si>
  <si>
    <t>Science; Science: Botany</t>
  </si>
  <si>
    <t>Military Science; Engineering: General; Engineering</t>
  </si>
  <si>
    <t>Engineering: Mechanical; Engineering; Engineering: General</t>
  </si>
  <si>
    <t>Law; Political Science</t>
  </si>
  <si>
    <t>Engineering; Engineering: Chemical; Science; Science: Biology/Natural History</t>
  </si>
  <si>
    <t>Fine Arts; Social Science</t>
  </si>
  <si>
    <t>Nursing</t>
  </si>
  <si>
    <t>Science; Environmental Studies; Science: Physics</t>
  </si>
  <si>
    <t>Literature; Language/Linguistics</t>
  </si>
  <si>
    <t>Philosophy; Social Science</t>
  </si>
  <si>
    <t>Science; Science: Physics</t>
  </si>
  <si>
    <t>Engineering: Mining; Engineering</t>
  </si>
  <si>
    <t>Library Science</t>
  </si>
  <si>
    <t>Engineering: Electrical; Engineering</t>
  </si>
  <si>
    <t>Health; Social Science; Medicine</t>
  </si>
  <si>
    <t>Engineering; Engineering: General; Military Science</t>
  </si>
  <si>
    <t>Literature; Philosophy</t>
  </si>
  <si>
    <t>Engineering; Engineering: Mechanical</t>
  </si>
  <si>
    <t>General Works/Reference; Literature</t>
  </si>
  <si>
    <t>Science; Science: Chemistry</t>
  </si>
  <si>
    <t>Literature; Fine Arts</t>
  </si>
  <si>
    <t>Medicine; Pharmacy</t>
  </si>
  <si>
    <t>Literature; Business/Management</t>
  </si>
  <si>
    <t>Philosophy; Home Economics</t>
  </si>
  <si>
    <t>Science: Geology; Science: Biology/Natural History; Science</t>
  </si>
  <si>
    <t>Architecture</t>
  </si>
  <si>
    <t>History; Environmental Studies</t>
  </si>
  <si>
    <t>Social Science; History</t>
  </si>
  <si>
    <t>Business/Management; Economics; Engineering; Engineering: General</t>
  </si>
  <si>
    <t>Psychology; Philosophy</t>
  </si>
  <si>
    <t>Literature; Publishing</t>
  </si>
  <si>
    <t>Fine Arts; Sport &amp;amp; Recreation</t>
  </si>
  <si>
    <t>Economics</t>
  </si>
  <si>
    <t>Social Science; Religion</t>
  </si>
  <si>
    <t>Science; General Works/Reference</t>
  </si>
  <si>
    <t>Education; Social Science</t>
  </si>
  <si>
    <t>Social Science; Business/Management</t>
  </si>
  <si>
    <t>Social Science; Literature</t>
  </si>
  <si>
    <t>Psychology; Health; Social Science</t>
  </si>
  <si>
    <t>Literature; History</t>
  </si>
  <si>
    <t>Engineering: Environmental; Engineering</t>
  </si>
  <si>
    <t>Engineering: Mechanical; Engineering; Business/Management</t>
  </si>
  <si>
    <t>Engineering: Mechanical; Environmental Studies; Economics; Engineering</t>
  </si>
  <si>
    <t>Engineering: Construction; Engineering; Engineering: Mechanical</t>
  </si>
  <si>
    <t>Military Science; History</t>
  </si>
  <si>
    <t>Computer Science/IT; Library Science</t>
  </si>
  <si>
    <t>Science: Geology; Science: General; Science</t>
  </si>
  <si>
    <t>Computer Science/IT; Social Science</t>
  </si>
  <si>
    <t>Science; Science: Anatomy/Physiology</t>
  </si>
  <si>
    <t>General Works/Reference; Computer Science/IT</t>
  </si>
  <si>
    <t>Business/Management; Economics; Tourism/Hospitality</t>
  </si>
  <si>
    <t>Engineering: Manufacturing; General Works/Reference; Engineering</t>
  </si>
  <si>
    <t>Medicine; Philosophy</t>
  </si>
  <si>
    <t>General Works/Reference; Fine Arts</t>
  </si>
  <si>
    <t>Engineering; Engineering: Electrical</t>
  </si>
  <si>
    <t>History; Geography/Travel</t>
  </si>
  <si>
    <t>History; General Works/Reference</t>
  </si>
  <si>
    <t>Medicine; Nursing</t>
  </si>
  <si>
    <t>General Works/Reference; Science; Science: Zoology</t>
  </si>
  <si>
    <t>History; Religion; Social Science</t>
  </si>
  <si>
    <t>Health</t>
  </si>
  <si>
    <t>Social Science; Philosophy</t>
  </si>
  <si>
    <t>Language/Linguistics; Business/Management</t>
  </si>
  <si>
    <t>Agriculture</t>
  </si>
  <si>
    <t>Engineering: Civil; Engineering; Business/Management</t>
  </si>
  <si>
    <t>Religion; History</t>
  </si>
  <si>
    <t>General Works/Reference; Language/Linguistics</t>
  </si>
  <si>
    <t>Medicine; Health; Social Science</t>
  </si>
  <si>
    <t>History; Law</t>
  </si>
  <si>
    <t>Engineering: Electrical; Engineering: General; Engineering</t>
  </si>
  <si>
    <t>Geography/Travel; General Works/Reference</t>
  </si>
  <si>
    <t>Medicine; Home Economics</t>
  </si>
  <si>
    <t>Pharmacy; Psychology; Medicine</t>
  </si>
  <si>
    <t>Engineering: Mechanical; Engineering</t>
  </si>
  <si>
    <t>Religion; Fine Arts; History</t>
  </si>
  <si>
    <t>Fine Arts; General Works/Reference</t>
  </si>
  <si>
    <t>History; Literature; General Works/Reference</t>
  </si>
  <si>
    <t>Language/Linguistics; Medicine</t>
  </si>
  <si>
    <t>Language/Linguistics; Education</t>
  </si>
  <si>
    <t>Engineering: Chemical; Engineering: Mining; Engineering</t>
  </si>
  <si>
    <t>General Works/Reference; Engineering: General</t>
  </si>
  <si>
    <t>822.3/3</t>
  </si>
  <si>
    <t>658/.049</t>
  </si>
  <si>
    <t>781.4/3</t>
  </si>
  <si>
    <t>780/.92 B</t>
  </si>
  <si>
    <t>150/.1</t>
  </si>
  <si>
    <t>510/.3</t>
  </si>
  <si>
    <t>709.04/5</t>
  </si>
  <si>
    <t>539.7/2</t>
  </si>
  <si>
    <t>811/.4</t>
  </si>
  <si>
    <t>811/.52</t>
  </si>
  <si>
    <t>813/.52</t>
  </si>
  <si>
    <t>813/.3</t>
  </si>
  <si>
    <t>813/.3 B</t>
  </si>
  <si>
    <t>811/.3</t>
  </si>
  <si>
    <t>616.001/9</t>
  </si>
  <si>
    <t>300/.72</t>
  </si>
  <si>
    <t>616.8/047572</t>
  </si>
  <si>
    <t>618.92/8918</t>
  </si>
  <si>
    <t>818/.309</t>
  </si>
  <si>
    <t>811/.54</t>
  </si>
  <si>
    <t>344/.01</t>
  </si>
  <si>
    <t>616.85/21003</t>
  </si>
  <si>
    <t>616.2/3</t>
  </si>
  <si>
    <t>394.2/068</t>
  </si>
  <si>
    <t>658.15/224</t>
  </si>
  <si>
    <t>617.4/410592</t>
  </si>
  <si>
    <t>823/.914</t>
  </si>
  <si>
    <t>617/.91</t>
  </si>
  <si>
    <t>174/.4</t>
  </si>
  <si>
    <t>871/.01</t>
  </si>
  <si>
    <t>150.19/8</t>
  </si>
  <si>
    <t>658.4/06</t>
  </si>
  <si>
    <t>363.25/4019</t>
  </si>
  <si>
    <t>660/.2804</t>
  </si>
  <si>
    <t>618.1/78</t>
  </si>
  <si>
    <t>809.3/9113</t>
  </si>
  <si>
    <t>613/.04244</t>
  </si>
  <si>
    <t>378.1/9425</t>
  </si>
  <si>
    <t>378.1/202373</t>
  </si>
  <si>
    <t>860.9/98</t>
  </si>
  <si>
    <t>344/.097</t>
  </si>
  <si>
    <t>362.196/89</t>
  </si>
  <si>
    <t>949.5/02</t>
  </si>
  <si>
    <t>371.5/8</t>
  </si>
  <si>
    <t>813/.0103</t>
  </si>
  <si>
    <t>379.1/58</t>
  </si>
  <si>
    <t>152.4/8</t>
  </si>
  <si>
    <t>813/.54</t>
  </si>
  <si>
    <t>614/.15</t>
  </si>
  <si>
    <t>374/.1829</t>
  </si>
  <si>
    <t>616.85/22</t>
  </si>
  <si>
    <t>346.03/4</t>
  </si>
  <si>
    <t>616.1/52</t>
  </si>
  <si>
    <t>362.4/2</t>
  </si>
  <si>
    <t>158/.308</t>
  </si>
  <si>
    <t>920.0092/96073</t>
  </si>
  <si>
    <t>818/.5409</t>
  </si>
  <si>
    <t>821/.7</t>
  </si>
  <si>
    <t>929.4/03</t>
  </si>
  <si>
    <t>618.92/0025</t>
  </si>
  <si>
    <t>839/.6/09</t>
  </si>
  <si>
    <t>423/.13</t>
  </si>
  <si>
    <t>362.2/1</t>
  </si>
  <si>
    <t>808/.06615</t>
  </si>
  <si>
    <t>373.1102/4</t>
  </si>
  <si>
    <t>938/.1</t>
  </si>
  <si>
    <t>910/.9/01</t>
  </si>
  <si>
    <t>341.23/03</t>
  </si>
  <si>
    <t>346.7304/8</t>
  </si>
  <si>
    <t>378.1/98</t>
  </si>
  <si>
    <t>306.3/62092</t>
  </si>
  <si>
    <t>347.73/26/09 347</t>
  </si>
  <si>
    <t>791.4/33/03</t>
  </si>
  <si>
    <t>174/.957</t>
  </si>
  <si>
    <t>362.1/0425</t>
  </si>
  <si>
    <t>205/.697</t>
  </si>
  <si>
    <t>809.3/003</t>
  </si>
  <si>
    <t>227/.06</t>
  </si>
  <si>
    <t>414/.8</t>
  </si>
  <si>
    <t>616.85/8842</t>
  </si>
  <si>
    <t>919.8/9</t>
  </si>
  <si>
    <t>158/.3</t>
  </si>
  <si>
    <t>821/.912</t>
  </si>
  <si>
    <t>791.45/750973</t>
  </si>
  <si>
    <t>201/.723</t>
  </si>
  <si>
    <t>378.1/11</t>
  </si>
  <si>
    <t>302.23/1</t>
  </si>
  <si>
    <t>142/.7</t>
  </si>
  <si>
    <t>304.8/73</t>
  </si>
  <si>
    <t>363.19/26</t>
  </si>
  <si>
    <t>808/.06692</t>
  </si>
  <si>
    <t>362.17/56</t>
  </si>
  <si>
    <t>808.06/65</t>
  </si>
  <si>
    <t>616.97/8</t>
  </si>
  <si>
    <t>133.4/203</t>
  </si>
  <si>
    <t>616.8/31003</t>
  </si>
  <si>
    <t>956.05/4</t>
  </si>
  <si>
    <t>370.71/1</t>
  </si>
  <si>
    <t>810.9/895</t>
  </si>
  <si>
    <t>820.9/96891</t>
  </si>
  <si>
    <t>200.9/04</t>
  </si>
  <si>
    <t>973.09/9</t>
  </si>
  <si>
    <t>810.9/0054</t>
  </si>
  <si>
    <t>796.3320922 B</t>
  </si>
  <si>
    <t>613/.043803</t>
  </si>
  <si>
    <t>363.450973/03</t>
  </si>
  <si>
    <t>344.73/0703</t>
  </si>
  <si>
    <t>362.880973/03</t>
  </si>
  <si>
    <t>363.2/0973/03</t>
  </si>
  <si>
    <t>305.309/04503</t>
  </si>
  <si>
    <t>301/.01</t>
  </si>
  <si>
    <t>320.01/4</t>
  </si>
  <si>
    <t>332.64/273</t>
  </si>
  <si>
    <t>828/.02</t>
  </si>
  <si>
    <t>823/.8</t>
  </si>
  <si>
    <t>791.45/655</t>
  </si>
  <si>
    <t>781.6609;781.6609/045;781.6609045</t>
  </si>
  <si>
    <t>344.04/603</t>
  </si>
  <si>
    <t>660.6/503</t>
  </si>
  <si>
    <t>791.43/658</t>
  </si>
  <si>
    <t>271/.90073</t>
  </si>
  <si>
    <t>363.9/60973</t>
  </si>
  <si>
    <t>342/.04130903</t>
  </si>
  <si>
    <t>820.9/001</t>
  </si>
  <si>
    <t>809/.03;B</t>
  </si>
  <si>
    <t>809/.034</t>
  </si>
  <si>
    <t>809/.04</t>
  </si>
  <si>
    <t>808/.045;B</t>
  </si>
  <si>
    <t>910.92/2</t>
  </si>
  <si>
    <t>363.738/74</t>
  </si>
  <si>
    <t>610.69/6</t>
  </si>
  <si>
    <t>973/.0496073</t>
  </si>
  <si>
    <t>491.9943;491.994321</t>
  </si>
  <si>
    <t>781.4/309031</t>
  </si>
  <si>
    <t>882/.01</t>
  </si>
  <si>
    <t>371.33/44678</t>
  </si>
  <si>
    <t>346.7301/35</t>
  </si>
  <si>
    <t>791.45/655403</t>
  </si>
  <si>
    <t>812/.54</t>
  </si>
  <si>
    <t>001.9/5</t>
  </si>
  <si>
    <t>616.7/23</t>
  </si>
  <si>
    <t>398.23/4003</t>
  </si>
  <si>
    <t>427/.09</t>
  </si>
  <si>
    <t>809/.003</t>
  </si>
  <si>
    <t>809 B</t>
  </si>
  <si>
    <t>B</t>
  </si>
  <si>
    <t>809/.89282</t>
  </si>
  <si>
    <t>780.92/2</t>
  </si>
  <si>
    <t>352.23092/2</t>
  </si>
  <si>
    <t>709.2/2</t>
  </si>
  <si>
    <t>791.4302/8092273 B</t>
  </si>
  <si>
    <t>808.06/678</t>
  </si>
  <si>
    <t>615.3/210951</t>
  </si>
  <si>
    <t>810.9/003</t>
  </si>
  <si>
    <t>937/.02</t>
  </si>
  <si>
    <t>335/.83</t>
  </si>
  <si>
    <t>330.12/2</t>
  </si>
  <si>
    <t>616.1/3</t>
  </si>
  <si>
    <t>871/.04</t>
  </si>
  <si>
    <t>361.3/7</t>
  </si>
  <si>
    <t>616.1/32</t>
  </si>
  <si>
    <t>949.5/04</t>
  </si>
  <si>
    <t>796.3570922 B</t>
  </si>
  <si>
    <t>617.5/225</t>
  </si>
  <si>
    <t>599.93/8</t>
  </si>
  <si>
    <t>363.6/9</t>
  </si>
  <si>
    <t>404/.2071</t>
  </si>
  <si>
    <t>302/.03</t>
  </si>
  <si>
    <t>658.3/124</t>
  </si>
  <si>
    <t>338.9/26</t>
  </si>
  <si>
    <t>133.8092/2 B</t>
  </si>
  <si>
    <t>813/.08766/075</t>
  </si>
  <si>
    <t>796.35/303</t>
  </si>
  <si>
    <t>270.8/3</t>
  </si>
  <si>
    <t>356/.160973</t>
  </si>
  <si>
    <t>810.9/896073</t>
  </si>
  <si>
    <t>230/.03</t>
  </si>
  <si>
    <t>791.43/6278/092273 B</t>
  </si>
  <si>
    <t>949.5/02/03</t>
  </si>
  <si>
    <t>616.8/45</t>
  </si>
  <si>
    <t>363.25/0973/03</t>
  </si>
  <si>
    <t>796.357/092/2 B</t>
  </si>
  <si>
    <t>330.01/9</t>
  </si>
  <si>
    <t>332.4/03</t>
  </si>
  <si>
    <t>332.7/03</t>
  </si>
  <si>
    <t>651/.29</t>
  </si>
  <si>
    <t>364.660975/09041</t>
  </si>
  <si>
    <t>616.95/1/003</t>
  </si>
  <si>
    <t>220.5/2/00922 B</t>
  </si>
  <si>
    <t>299/.932</t>
  </si>
  <si>
    <t>872/.0109</t>
  </si>
  <si>
    <t>398.9/9171/03</t>
  </si>
  <si>
    <t>940.54/5973</t>
  </si>
  <si>
    <t>618.92/8589</t>
  </si>
  <si>
    <t>938/.05</t>
  </si>
  <si>
    <t>364.6609756/0904</t>
  </si>
  <si>
    <t>973/.04924</t>
  </si>
  <si>
    <t>811/.6</t>
  </si>
  <si>
    <t>584/.4098</t>
  </si>
  <si>
    <t>658.2/6</t>
  </si>
  <si>
    <t>355.1/13</t>
  </si>
  <si>
    <t>355/.003</t>
  </si>
  <si>
    <t>004.0207;025.04/0207</t>
  </si>
  <si>
    <t>592.177/6</t>
  </si>
  <si>
    <t>500.2/03</t>
  </si>
  <si>
    <t>809/.04 B</t>
  </si>
  <si>
    <t>578.76/03</t>
  </si>
  <si>
    <t>570/.3</t>
  </si>
  <si>
    <t>006.7/54</t>
  </si>
  <si>
    <t>001.4/226028566</t>
  </si>
  <si>
    <t>346.7304/82</t>
  </si>
  <si>
    <t>121/.6</t>
  </si>
  <si>
    <t>338.5/42</t>
  </si>
  <si>
    <t>339.4/6</t>
  </si>
  <si>
    <t>338.4/791</t>
  </si>
  <si>
    <t>305.42092/273 B</t>
  </si>
  <si>
    <t>398.9/2103</t>
  </si>
  <si>
    <t>305.5/2</t>
  </si>
  <si>
    <t>230.089/68073</t>
  </si>
  <si>
    <t>616.85/26</t>
  </si>
  <si>
    <t>973.924092 B</t>
  </si>
  <si>
    <t>973.3092 B</t>
  </si>
  <si>
    <t>823/.912</t>
  </si>
  <si>
    <t>306.4/61</t>
  </si>
  <si>
    <t>128/.109</t>
  </si>
  <si>
    <t>172/.209</t>
  </si>
  <si>
    <t>616.89/0231</t>
  </si>
  <si>
    <t>780/.92</t>
  </si>
  <si>
    <t>364.6609758/0904</t>
  </si>
  <si>
    <t>621.3/88</t>
  </si>
  <si>
    <t>781.64/092/275</t>
  </si>
  <si>
    <t>820.9 B</t>
  </si>
  <si>
    <t>262/.140902</t>
  </si>
  <si>
    <t>497/.4576</t>
  </si>
  <si>
    <t>492/.6</t>
  </si>
  <si>
    <t>492/.3</t>
  </si>
  <si>
    <t>228/.0609</t>
  </si>
  <si>
    <t>016.566/0971</t>
  </si>
  <si>
    <t>427/.97169</t>
  </si>
  <si>
    <t>892.7/09</t>
  </si>
  <si>
    <t>296.8/1</t>
  </si>
  <si>
    <t>884/.0109</t>
  </si>
  <si>
    <t>001.944/03</t>
  </si>
  <si>
    <t>937/.0603</t>
  </si>
  <si>
    <t>016.427/975</t>
  </si>
  <si>
    <t>617.8/8220592</t>
  </si>
  <si>
    <t>617.5/20592</t>
  </si>
  <si>
    <t>616.3/23</t>
  </si>
  <si>
    <t>362.196/855</t>
  </si>
  <si>
    <t>786.2/03</t>
  </si>
  <si>
    <t>323/.0420973</t>
  </si>
  <si>
    <t>497/.52539</t>
  </si>
  <si>
    <t>320.9182/28</t>
  </si>
  <si>
    <t>616.9/803</t>
  </si>
  <si>
    <t>616.85/54</t>
  </si>
  <si>
    <t>616.99/465</t>
  </si>
  <si>
    <t>617.5/1059</t>
  </si>
  <si>
    <t>617.5/10068</t>
  </si>
  <si>
    <t>616/.0472</t>
  </si>
  <si>
    <t>617.8/075</t>
  </si>
  <si>
    <t>636.7/103</t>
  </si>
  <si>
    <t>616.8/41</t>
  </si>
  <si>
    <t>720.9773/11</t>
  </si>
  <si>
    <t>616.85/5</t>
  </si>
  <si>
    <t>809/.933561</t>
  </si>
  <si>
    <t>English</t>
  </si>
  <si>
    <t>Spanish; Castilian</t>
  </si>
  <si>
    <t>German</t>
  </si>
  <si>
    <t>1991</t>
  </si>
  <si>
    <t>1995</t>
  </si>
  <si>
    <t>2004</t>
  </si>
  <si>
    <t>2002</t>
  </si>
  <si>
    <t>2005</t>
  </si>
  <si>
    <t>2006</t>
  </si>
  <si>
    <t>2001</t>
  </si>
  <si>
    <t>2003</t>
  </si>
  <si>
    <t>2007</t>
  </si>
  <si>
    <t>2008</t>
  </si>
  <si>
    <t>2000</t>
  </si>
  <si>
    <t>2009</t>
  </si>
  <si>
    <t>1999</t>
  </si>
  <si>
    <t>1998</t>
  </si>
  <si>
    <t>2010</t>
  </si>
  <si>
    <t>2011</t>
  </si>
  <si>
    <t>2012</t>
  </si>
  <si>
    <t>2013</t>
  </si>
  <si>
    <t>1997</t>
  </si>
  <si>
    <t>2014</t>
  </si>
  <si>
    <t>2015</t>
  </si>
  <si>
    <t>2016</t>
  </si>
  <si>
    <t>1990</t>
  </si>
  <si>
    <t>2017</t>
  </si>
  <si>
    <t>2018</t>
  </si>
  <si>
    <t>1989</t>
  </si>
  <si>
    <t>2019</t>
  </si>
  <si>
    <t>2020</t>
  </si>
  <si>
    <t>2021</t>
  </si>
  <si>
    <t>2022</t>
  </si>
  <si>
    <t>2023</t>
  </si>
  <si>
    <t>2024</t>
  </si>
  <si>
    <t>Citation/ Abstract Start Year</t>
  </si>
  <si>
    <t>Full Text Start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</si>
</sst>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sz val="11"/>
      <name val="돋움"/>
      <family val="3"/>
      <charset val="129"/>
    </font>
    <font>
      <b/>
      <sz val="9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2" fillId="0" borderId="0"/>
  </cellStyleXfs>
  <cellXfs count="15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</cellXfs>
  <cellStyles count="3">
    <cellStyle name="                         335" xfId="1" xr:uid="{CAB3C435-FC04-4636-B93B-95211C10F4FC}"/>
    <cellStyle name="표준" xfId="0" builtinId="0"/>
    <cellStyle name="표준 11" xfId="2" xr:uid="{9E6D7A9E-870D-4574-A043-487888C330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A083-C63E-45D6-8AF0-A895A4E7F97B}">
  <dimension ref="A1:AN1072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ColWidth="9" defaultRowHeight="20.100000000000001" customHeight="1"/>
  <cols>
    <col min="1" max="1" width="6.42578125" style="9" customWidth="1"/>
    <col min="2" max="3" width="32" style="10" bestFit="1" customWidth="1"/>
    <col min="4" max="4" width="10.28515625" style="14"/>
    <col min="5" max="5" width="6.85546875" style="9" bestFit="1" customWidth="1"/>
    <col min="6" max="6" width="6.7109375" style="10" bestFit="1" customWidth="1"/>
    <col min="7" max="7" width="10.28515625" style="14"/>
    <col min="8" max="8" width="80.7109375" style="14" customWidth="1"/>
    <col min="9" max="9" width="11.140625" style="9" customWidth="1"/>
    <col min="10" max="10" width="10.85546875" style="9" customWidth="1"/>
    <col min="11" max="11" width="9.7109375" style="9" customWidth="1"/>
    <col min="12" max="12" width="9.140625" style="9" bestFit="1" customWidth="1"/>
    <col min="13" max="13" width="10.28515625" style="14"/>
    <col min="14" max="14" width="9.140625" style="10" customWidth="1"/>
    <col min="15" max="15" width="9.140625" style="9" customWidth="1"/>
    <col min="16" max="16" width="9.42578125" style="9" bestFit="1" customWidth="1"/>
    <col min="17" max="24" width="9" style="9"/>
    <col min="25" max="25" width="9.42578125" style="9" bestFit="1" customWidth="1"/>
    <col min="26" max="26" width="9" style="9"/>
    <col min="27" max="30" width="10.28515625" style="14"/>
    <col min="31" max="31" width="10.42578125" style="10" bestFit="1" customWidth="1"/>
    <col min="32" max="32" width="11.85546875" style="10" bestFit="1" customWidth="1"/>
    <col min="33" max="34" width="9.42578125" style="10" bestFit="1" customWidth="1"/>
    <col min="35" max="35" width="9.140625" style="10" bestFit="1" customWidth="1"/>
    <col min="36" max="39" width="9" style="10"/>
    <col min="40" max="40" width="17.140625" style="10" customWidth="1"/>
    <col min="41" max="16384" width="9" style="10"/>
  </cols>
  <sheetData>
    <row r="1" spans="1:40" s="8" customFormat="1" ht="60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2" t="s">
        <v>2802</v>
      </c>
      <c r="J1" s="2" t="s">
        <v>8</v>
      </c>
      <c r="K1" s="2" t="s">
        <v>2801</v>
      </c>
      <c r="L1" s="2" t="s">
        <v>37</v>
      </c>
      <c r="M1" s="2" t="s">
        <v>9</v>
      </c>
      <c r="N1" s="2" t="s">
        <v>10</v>
      </c>
      <c r="O1" s="2" t="s">
        <v>11</v>
      </c>
      <c r="P1" s="2" t="s">
        <v>36</v>
      </c>
      <c r="Q1" s="5" t="s">
        <v>12</v>
      </c>
      <c r="R1" s="5" t="s">
        <v>13</v>
      </c>
      <c r="S1" s="5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1" t="s">
        <v>23</v>
      </c>
      <c r="AC1" s="2" t="s">
        <v>24</v>
      </c>
      <c r="AD1" s="4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  <c r="AK1" s="7" t="s">
        <v>32</v>
      </c>
      <c r="AL1" s="7" t="s">
        <v>33</v>
      </c>
      <c r="AM1" s="7" t="s">
        <v>34</v>
      </c>
      <c r="AN1" s="1" t="s">
        <v>35</v>
      </c>
    </row>
    <row r="2" spans="1:40" ht="20.100000000000001" customHeight="1">
      <c r="A2" s="11">
        <v>1</v>
      </c>
      <c r="B2" s="12" t="s">
        <v>38</v>
      </c>
      <c r="C2" s="12" t="s">
        <v>38</v>
      </c>
      <c r="D2" s="13" t="s">
        <v>2312</v>
      </c>
      <c r="E2" s="11"/>
      <c r="F2" s="12"/>
      <c r="G2" s="13" t="str">
        <f>"9780203167885"</f>
        <v>9780203167885</v>
      </c>
      <c r="H2" s="13" t="s">
        <v>1110</v>
      </c>
      <c r="I2" s="11" t="s">
        <v>2769</v>
      </c>
      <c r="J2" s="11"/>
      <c r="K2" s="11"/>
      <c r="L2" s="11"/>
      <c r="M2" s="13" t="s">
        <v>2175</v>
      </c>
      <c r="N2" s="1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3" t="s">
        <v>2766</v>
      </c>
      <c r="AB2" s="13">
        <v>821.3</v>
      </c>
      <c r="AC2" s="13" t="s">
        <v>2313</v>
      </c>
      <c r="AD2" s="13" t="s">
        <v>39</v>
      </c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ht="20.100000000000001" customHeight="1">
      <c r="A3" s="11">
        <v>2</v>
      </c>
      <c r="B3" s="12" t="s">
        <v>38</v>
      </c>
      <c r="C3" s="12" t="s">
        <v>38</v>
      </c>
      <c r="D3" s="13" t="s">
        <v>2312</v>
      </c>
      <c r="E3" s="11"/>
      <c r="F3" s="12"/>
      <c r="G3" s="13" t="str">
        <f>"9780203642276"</f>
        <v>9780203642276</v>
      </c>
      <c r="H3" s="13" t="s">
        <v>1111</v>
      </c>
      <c r="I3" s="11" t="s">
        <v>2770</v>
      </c>
      <c r="J3" s="11"/>
      <c r="K3" s="11"/>
      <c r="L3" s="11"/>
      <c r="M3" s="13" t="s">
        <v>2175</v>
      </c>
      <c r="N3" s="1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3" t="s">
        <v>2766</v>
      </c>
      <c r="AB3" s="13" t="s">
        <v>2501</v>
      </c>
      <c r="AC3" s="13" t="s">
        <v>2313</v>
      </c>
      <c r="AD3" s="13" t="s">
        <v>40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ht="20.100000000000001" customHeight="1">
      <c r="A4" s="11">
        <v>3</v>
      </c>
      <c r="B4" s="12" t="s">
        <v>38</v>
      </c>
      <c r="C4" s="12" t="s">
        <v>38</v>
      </c>
      <c r="D4" s="13" t="s">
        <v>2312</v>
      </c>
      <c r="E4" s="11"/>
      <c r="F4" s="12"/>
      <c r="G4" s="13" t="str">
        <f>"9781405128834"</f>
        <v>9781405128834</v>
      </c>
      <c r="H4" s="13" t="s">
        <v>1112</v>
      </c>
      <c r="I4" s="11" t="s">
        <v>2771</v>
      </c>
      <c r="J4" s="11"/>
      <c r="K4" s="11"/>
      <c r="L4" s="11"/>
      <c r="M4" s="13" t="s">
        <v>2176</v>
      </c>
      <c r="N4" s="12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3" t="s">
        <v>2766</v>
      </c>
      <c r="AB4" s="13" t="s">
        <v>2502</v>
      </c>
      <c r="AC4" s="13" t="s">
        <v>2314</v>
      </c>
      <c r="AD4" s="13" t="s">
        <v>41</v>
      </c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ht="20.100000000000001" customHeight="1">
      <c r="A5" s="11">
        <v>4</v>
      </c>
      <c r="B5" s="12" t="s">
        <v>38</v>
      </c>
      <c r="C5" s="12" t="s">
        <v>38</v>
      </c>
      <c r="D5" s="13" t="s">
        <v>2312</v>
      </c>
      <c r="E5" s="11"/>
      <c r="F5" s="12"/>
      <c r="G5" s="13" t="str">
        <f>"9780511202889"</f>
        <v>9780511202889</v>
      </c>
      <c r="H5" s="13" t="s">
        <v>1113</v>
      </c>
      <c r="I5" s="11" t="s">
        <v>2772</v>
      </c>
      <c r="J5" s="11"/>
      <c r="K5" s="11"/>
      <c r="L5" s="11"/>
      <c r="M5" s="13" t="s">
        <v>2177</v>
      </c>
      <c r="N5" s="12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3" t="s">
        <v>2766</v>
      </c>
      <c r="AB5" s="13" t="s">
        <v>2503</v>
      </c>
      <c r="AC5" s="13" t="s">
        <v>2315</v>
      </c>
      <c r="AD5" s="13" t="s">
        <v>42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ht="20.100000000000001" customHeight="1">
      <c r="A6" s="11">
        <v>5</v>
      </c>
      <c r="B6" s="12" t="s">
        <v>38</v>
      </c>
      <c r="C6" s="12" t="s">
        <v>38</v>
      </c>
      <c r="D6" s="13" t="s">
        <v>2312</v>
      </c>
      <c r="E6" s="11"/>
      <c r="F6" s="12"/>
      <c r="G6" s="13" t="str">
        <f>"9780511197598"</f>
        <v>9780511197598</v>
      </c>
      <c r="H6" s="13" t="s">
        <v>1114</v>
      </c>
      <c r="I6" s="11" t="s">
        <v>2773</v>
      </c>
      <c r="J6" s="11"/>
      <c r="K6" s="11"/>
      <c r="L6" s="11"/>
      <c r="M6" s="13" t="s">
        <v>2177</v>
      </c>
      <c r="N6" s="12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3" t="s">
        <v>2766</v>
      </c>
      <c r="AB6" s="13">
        <v>595.71650917320005</v>
      </c>
      <c r="AC6" s="13" t="s">
        <v>2316</v>
      </c>
      <c r="AD6" s="13" t="s">
        <v>43</v>
      </c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0.100000000000001" customHeight="1">
      <c r="A7" s="11">
        <v>6</v>
      </c>
      <c r="B7" s="12" t="s">
        <v>38</v>
      </c>
      <c r="C7" s="12" t="s">
        <v>38</v>
      </c>
      <c r="D7" s="13" t="s">
        <v>2312</v>
      </c>
      <c r="E7" s="11"/>
      <c r="F7" s="12"/>
      <c r="G7" s="13" t="str">
        <f>"9781405144667"</f>
        <v>9781405144667</v>
      </c>
      <c r="H7" s="13" t="s">
        <v>1115</v>
      </c>
      <c r="I7" s="11" t="s">
        <v>2773</v>
      </c>
      <c r="J7" s="11"/>
      <c r="K7" s="11"/>
      <c r="L7" s="11"/>
      <c r="M7" s="13" t="s">
        <v>2176</v>
      </c>
      <c r="N7" s="12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3" t="s">
        <v>2766</v>
      </c>
      <c r="AB7" s="13">
        <v>658.31119999999999</v>
      </c>
      <c r="AC7" s="13" t="s">
        <v>2314</v>
      </c>
      <c r="AD7" s="13" t="s">
        <v>44</v>
      </c>
      <c r="AE7" s="12"/>
      <c r="AF7" s="12"/>
      <c r="AG7" s="12"/>
      <c r="AH7" s="12"/>
      <c r="AI7" s="12"/>
      <c r="AJ7" s="12"/>
      <c r="AK7" s="12"/>
      <c r="AL7" s="12"/>
      <c r="AM7" s="12"/>
      <c r="AN7" s="12"/>
    </row>
    <row r="8" spans="1:40" ht="20.100000000000001" customHeight="1">
      <c r="A8" s="11">
        <v>7</v>
      </c>
      <c r="B8" s="12" t="s">
        <v>38</v>
      </c>
      <c r="C8" s="12" t="s">
        <v>38</v>
      </c>
      <c r="D8" s="13" t="s">
        <v>2312</v>
      </c>
      <c r="E8" s="11"/>
      <c r="F8" s="12"/>
      <c r="G8" s="13" t="str">
        <f>"9781405148863"</f>
        <v>9781405148863</v>
      </c>
      <c r="H8" s="13" t="s">
        <v>1116</v>
      </c>
      <c r="I8" s="11" t="s">
        <v>2773</v>
      </c>
      <c r="J8" s="11"/>
      <c r="K8" s="11"/>
      <c r="L8" s="11"/>
      <c r="M8" s="13" t="s">
        <v>2176</v>
      </c>
      <c r="N8" s="12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3" t="s">
        <v>2766</v>
      </c>
      <c r="AB8" s="13">
        <v>930.1</v>
      </c>
      <c r="AC8" s="13" t="s">
        <v>2317</v>
      </c>
      <c r="AD8" s="13" t="s">
        <v>45</v>
      </c>
      <c r="AE8" s="12"/>
      <c r="AF8" s="12"/>
      <c r="AG8" s="12"/>
      <c r="AH8" s="12"/>
      <c r="AI8" s="12"/>
      <c r="AJ8" s="12"/>
      <c r="AK8" s="12"/>
      <c r="AL8" s="12"/>
      <c r="AM8" s="12"/>
      <c r="AN8" s="12"/>
    </row>
    <row r="9" spans="1:40" ht="20.100000000000001" customHeight="1">
      <c r="A9" s="11">
        <v>8</v>
      </c>
      <c r="B9" s="12" t="s">
        <v>38</v>
      </c>
      <c r="C9" s="12" t="s">
        <v>38</v>
      </c>
      <c r="D9" s="13" t="s">
        <v>2312</v>
      </c>
      <c r="E9" s="11"/>
      <c r="F9" s="12"/>
      <c r="G9" s="13" t="str">
        <f>"9780511201233"</f>
        <v>9780511201233</v>
      </c>
      <c r="H9" s="13" t="s">
        <v>1117</v>
      </c>
      <c r="I9" s="11" t="s">
        <v>2773</v>
      </c>
      <c r="J9" s="11"/>
      <c r="K9" s="11"/>
      <c r="L9" s="11"/>
      <c r="M9" s="13" t="s">
        <v>2177</v>
      </c>
      <c r="N9" s="12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3" t="s">
        <v>2766</v>
      </c>
      <c r="AB9" s="13">
        <v>305.26</v>
      </c>
      <c r="AC9" s="13" t="s">
        <v>2318</v>
      </c>
      <c r="AD9" s="13" t="s">
        <v>46</v>
      </c>
      <c r="AE9" s="12"/>
      <c r="AF9" s="12"/>
      <c r="AG9" s="12"/>
      <c r="AH9" s="12"/>
      <c r="AI9" s="12"/>
      <c r="AJ9" s="12"/>
      <c r="AK9" s="12"/>
      <c r="AL9" s="12"/>
      <c r="AM9" s="12"/>
      <c r="AN9" s="12"/>
    </row>
    <row r="10" spans="1:40" ht="20.100000000000001" customHeight="1">
      <c r="A10" s="11">
        <v>9</v>
      </c>
      <c r="B10" s="12" t="s">
        <v>38</v>
      </c>
      <c r="C10" s="12" t="s">
        <v>38</v>
      </c>
      <c r="D10" s="13" t="s">
        <v>2312</v>
      </c>
      <c r="E10" s="11"/>
      <c r="F10" s="12"/>
      <c r="G10" s="13" t="str">
        <f>"9780511201868"</f>
        <v>9780511201868</v>
      </c>
      <c r="H10" s="13" t="s">
        <v>1118</v>
      </c>
      <c r="I10" s="11" t="s">
        <v>2774</v>
      </c>
      <c r="J10" s="11"/>
      <c r="K10" s="11"/>
      <c r="L10" s="11"/>
      <c r="M10" s="13" t="s">
        <v>2177</v>
      </c>
      <c r="N10" s="12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3" t="s">
        <v>2766</v>
      </c>
      <c r="AB10" s="13" t="s">
        <v>2504</v>
      </c>
      <c r="AC10" s="13" t="s">
        <v>2315</v>
      </c>
      <c r="AD10" s="13" t="s">
        <v>47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</row>
    <row r="11" spans="1:40" ht="20.100000000000001" customHeight="1">
      <c r="A11" s="11">
        <v>10</v>
      </c>
      <c r="B11" s="12" t="s">
        <v>38</v>
      </c>
      <c r="C11" s="12" t="s">
        <v>38</v>
      </c>
      <c r="D11" s="13" t="s">
        <v>2312</v>
      </c>
      <c r="E11" s="11"/>
      <c r="F11" s="12"/>
      <c r="G11" s="13" t="str">
        <f>"9780511145759"</f>
        <v>9780511145759</v>
      </c>
      <c r="H11" s="13" t="s">
        <v>1119</v>
      </c>
      <c r="I11" s="11" t="s">
        <v>2774</v>
      </c>
      <c r="J11" s="11"/>
      <c r="K11" s="11"/>
      <c r="L11" s="11"/>
      <c r="M11" s="13" t="s">
        <v>2177</v>
      </c>
      <c r="N11" s="12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3" t="s">
        <v>2766</v>
      </c>
      <c r="AB11" s="13">
        <v>153.35</v>
      </c>
      <c r="AC11" s="13" t="s">
        <v>2319</v>
      </c>
      <c r="AD11" s="13" t="s">
        <v>48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</row>
    <row r="12" spans="1:40" ht="20.100000000000001" customHeight="1">
      <c r="A12" s="11">
        <v>11</v>
      </c>
      <c r="B12" s="12" t="s">
        <v>38</v>
      </c>
      <c r="C12" s="12" t="s">
        <v>38</v>
      </c>
      <c r="D12" s="13" t="s">
        <v>2312</v>
      </c>
      <c r="E12" s="11"/>
      <c r="F12" s="12"/>
      <c r="G12" s="13" t="str">
        <f>"9780511187124"</f>
        <v>9780511187124</v>
      </c>
      <c r="H12" s="13" t="s">
        <v>1120</v>
      </c>
      <c r="I12" s="11" t="s">
        <v>2771</v>
      </c>
      <c r="J12" s="11"/>
      <c r="K12" s="11"/>
      <c r="L12" s="11"/>
      <c r="M12" s="13" t="s">
        <v>2177</v>
      </c>
      <c r="N12" s="12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3" t="s">
        <v>2766</v>
      </c>
      <c r="AB12" s="13">
        <v>523.79999999999995</v>
      </c>
      <c r="AC12" s="13" t="s">
        <v>2320</v>
      </c>
      <c r="AD12" s="13" t="s">
        <v>49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ht="20.100000000000001" customHeight="1">
      <c r="A13" s="11">
        <v>12</v>
      </c>
      <c r="B13" s="12" t="s">
        <v>38</v>
      </c>
      <c r="C13" s="12" t="s">
        <v>38</v>
      </c>
      <c r="D13" s="13" t="s">
        <v>2312</v>
      </c>
      <c r="E13" s="11"/>
      <c r="F13" s="12"/>
      <c r="G13" s="13" t="str">
        <f>"9780203996348"</f>
        <v>9780203996348</v>
      </c>
      <c r="H13" s="13" t="s">
        <v>1121</v>
      </c>
      <c r="I13" s="11" t="s">
        <v>2775</v>
      </c>
      <c r="J13" s="11"/>
      <c r="K13" s="11"/>
      <c r="L13" s="11"/>
      <c r="M13" s="13" t="s">
        <v>2175</v>
      </c>
      <c r="N13" s="12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3" t="s">
        <v>2766</v>
      </c>
      <c r="AB13" s="13">
        <v>952.0403</v>
      </c>
      <c r="AC13" s="13" t="s">
        <v>2317</v>
      </c>
      <c r="AD13" s="13" t="s">
        <v>50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 ht="20.100000000000001" customHeight="1">
      <c r="A14" s="11">
        <v>13</v>
      </c>
      <c r="B14" s="12" t="s">
        <v>38</v>
      </c>
      <c r="C14" s="12" t="s">
        <v>38</v>
      </c>
      <c r="D14" s="13" t="s">
        <v>2312</v>
      </c>
      <c r="E14" s="11"/>
      <c r="F14" s="12"/>
      <c r="G14" s="13" t="str">
        <f>"9780511160103"</f>
        <v>9780511160103</v>
      </c>
      <c r="H14" s="13" t="s">
        <v>1122</v>
      </c>
      <c r="I14" s="11" t="s">
        <v>2773</v>
      </c>
      <c r="J14" s="11"/>
      <c r="K14" s="11"/>
      <c r="L14" s="11"/>
      <c r="M14" s="13" t="s">
        <v>2177</v>
      </c>
      <c r="N14" s="12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3" t="s">
        <v>2766</v>
      </c>
      <c r="AB14" s="13" t="s">
        <v>2505</v>
      </c>
      <c r="AC14" s="13" t="s">
        <v>2321</v>
      </c>
      <c r="AD14" s="13" t="s">
        <v>51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ht="20.100000000000001" customHeight="1">
      <c r="A15" s="11">
        <v>14</v>
      </c>
      <c r="B15" s="12" t="s">
        <v>38</v>
      </c>
      <c r="C15" s="12" t="s">
        <v>38</v>
      </c>
      <c r="D15" s="13" t="s">
        <v>2312</v>
      </c>
      <c r="E15" s="11"/>
      <c r="F15" s="12"/>
      <c r="G15" s="13" t="str">
        <f>"9781420037760"</f>
        <v>9781420037760</v>
      </c>
      <c r="H15" s="13" t="s">
        <v>1123</v>
      </c>
      <c r="I15" s="11" t="s">
        <v>2772</v>
      </c>
      <c r="J15" s="11"/>
      <c r="K15" s="11"/>
      <c r="L15" s="11"/>
      <c r="M15" s="13" t="s">
        <v>2175</v>
      </c>
      <c r="N15" s="12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3" t="s">
        <v>2766</v>
      </c>
      <c r="AB15" s="13" t="s">
        <v>2506</v>
      </c>
      <c r="AC15" s="13" t="s">
        <v>2322</v>
      </c>
      <c r="AD15" s="13" t="s">
        <v>52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ht="20.100000000000001" customHeight="1">
      <c r="A16" s="11">
        <v>15</v>
      </c>
      <c r="B16" s="12" t="s">
        <v>38</v>
      </c>
      <c r="C16" s="12" t="s">
        <v>38</v>
      </c>
      <c r="D16" s="13" t="s">
        <v>2312</v>
      </c>
      <c r="E16" s="11"/>
      <c r="F16" s="12"/>
      <c r="G16" s="13" t="str">
        <f>"9780080462653"</f>
        <v>9780080462653</v>
      </c>
      <c r="H16" s="13" t="s">
        <v>1124</v>
      </c>
      <c r="I16" s="11" t="s">
        <v>2773</v>
      </c>
      <c r="J16" s="11"/>
      <c r="K16" s="11"/>
      <c r="L16" s="11"/>
      <c r="M16" s="13" t="s">
        <v>2178</v>
      </c>
      <c r="N16" s="12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3" t="s">
        <v>2766</v>
      </c>
      <c r="AB16" s="13">
        <v>709</v>
      </c>
      <c r="AC16" s="13" t="s">
        <v>2315</v>
      </c>
      <c r="AD16" s="13" t="s">
        <v>53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ht="20.100000000000001" customHeight="1">
      <c r="A17" s="11">
        <v>16</v>
      </c>
      <c r="B17" s="12" t="s">
        <v>38</v>
      </c>
      <c r="C17" s="12" t="s">
        <v>38</v>
      </c>
      <c r="D17" s="13" t="s">
        <v>2312</v>
      </c>
      <c r="E17" s="11"/>
      <c r="F17" s="12"/>
      <c r="G17" s="13" t="str">
        <f>"9780511244735"</f>
        <v>9780511244735</v>
      </c>
      <c r="H17" s="13" t="s">
        <v>1125</v>
      </c>
      <c r="I17" s="11" t="s">
        <v>2774</v>
      </c>
      <c r="J17" s="11"/>
      <c r="K17" s="11"/>
      <c r="L17" s="11"/>
      <c r="M17" s="13" t="s">
        <v>2177</v>
      </c>
      <c r="N17" s="12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3" t="s">
        <v>2766</v>
      </c>
      <c r="AB17" s="13">
        <v>519.50300000000004</v>
      </c>
      <c r="AC17" s="13" t="s">
        <v>2322</v>
      </c>
      <c r="AD17" s="13" t="s">
        <v>54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ht="20.100000000000001" customHeight="1">
      <c r="A18" s="11">
        <v>17</v>
      </c>
      <c r="B18" s="12" t="s">
        <v>38</v>
      </c>
      <c r="C18" s="12" t="s">
        <v>38</v>
      </c>
      <c r="D18" s="13" t="s">
        <v>2312</v>
      </c>
      <c r="E18" s="11"/>
      <c r="F18" s="12"/>
      <c r="G18" s="13" t="str">
        <f>"9780470997314"</f>
        <v>9780470997314</v>
      </c>
      <c r="H18" s="13" t="s">
        <v>1126</v>
      </c>
      <c r="I18" s="11" t="s">
        <v>2776</v>
      </c>
      <c r="J18" s="11"/>
      <c r="K18" s="11"/>
      <c r="L18" s="11"/>
      <c r="M18" s="13" t="s">
        <v>2176</v>
      </c>
      <c r="N18" s="12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3" t="s">
        <v>2766</v>
      </c>
      <c r="AB18" s="13">
        <v>938.07</v>
      </c>
      <c r="AC18" s="13" t="s">
        <v>2317</v>
      </c>
      <c r="AD18" s="13" t="s">
        <v>55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ht="20.100000000000001" customHeight="1">
      <c r="A19" s="11">
        <v>18</v>
      </c>
      <c r="B19" s="12" t="s">
        <v>38</v>
      </c>
      <c r="C19" s="12" t="s">
        <v>38</v>
      </c>
      <c r="D19" s="13" t="s">
        <v>2312</v>
      </c>
      <c r="E19" s="11"/>
      <c r="F19" s="12"/>
      <c r="G19" s="13" t="str">
        <f>"9781405171632"</f>
        <v>9781405171632</v>
      </c>
      <c r="H19" s="13" t="s">
        <v>1127</v>
      </c>
      <c r="I19" s="11" t="s">
        <v>2777</v>
      </c>
      <c r="J19" s="11"/>
      <c r="K19" s="11"/>
      <c r="L19" s="11"/>
      <c r="M19" s="13" t="s">
        <v>2176</v>
      </c>
      <c r="N19" s="12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3" t="s">
        <v>2766</v>
      </c>
      <c r="AB19" s="13">
        <v>248.09</v>
      </c>
      <c r="AC19" s="13" t="s">
        <v>2323</v>
      </c>
      <c r="AD19" s="13" t="s">
        <v>56</v>
      </c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ht="20.100000000000001" customHeight="1">
      <c r="A20" s="11">
        <v>19</v>
      </c>
      <c r="B20" s="12" t="s">
        <v>38</v>
      </c>
      <c r="C20" s="12" t="s">
        <v>38</v>
      </c>
      <c r="D20" s="13" t="s">
        <v>2312</v>
      </c>
      <c r="E20" s="11"/>
      <c r="F20" s="12"/>
      <c r="G20" s="13" t="str">
        <f>"9781405152358"</f>
        <v>9781405152358</v>
      </c>
      <c r="H20" s="13" t="s">
        <v>1128</v>
      </c>
      <c r="I20" s="11" t="s">
        <v>2774</v>
      </c>
      <c r="J20" s="11"/>
      <c r="K20" s="11"/>
      <c r="L20" s="11"/>
      <c r="M20" s="13" t="s">
        <v>2176</v>
      </c>
      <c r="N20" s="12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3" t="s">
        <v>2766</v>
      </c>
      <c r="AB20" s="13" t="s">
        <v>2507</v>
      </c>
      <c r="AC20" s="13" t="s">
        <v>2315</v>
      </c>
      <c r="AD20" s="13" t="s">
        <v>57</v>
      </c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1:40" ht="20.100000000000001" customHeight="1">
      <c r="A21" s="11">
        <v>20</v>
      </c>
      <c r="B21" s="12" t="s">
        <v>38</v>
      </c>
      <c r="C21" s="12" t="s">
        <v>38</v>
      </c>
      <c r="D21" s="13" t="s">
        <v>2312</v>
      </c>
      <c r="E21" s="11"/>
      <c r="F21" s="12"/>
      <c r="G21" s="13" t="str">
        <f>"9780511272981"</f>
        <v>9780511272981</v>
      </c>
      <c r="H21" s="13" t="s">
        <v>1129</v>
      </c>
      <c r="I21" s="11" t="s">
        <v>2777</v>
      </c>
      <c r="J21" s="11"/>
      <c r="K21" s="11"/>
      <c r="L21" s="11"/>
      <c r="M21" s="13" t="s">
        <v>2177</v>
      </c>
      <c r="N21" s="12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3" t="s">
        <v>2766</v>
      </c>
      <c r="AB21" s="13" t="s">
        <v>2508</v>
      </c>
      <c r="AC21" s="13" t="s">
        <v>2324</v>
      </c>
      <c r="AD21" s="13" t="s">
        <v>58</v>
      </c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ht="20.100000000000001" customHeight="1">
      <c r="A22" s="11">
        <v>21</v>
      </c>
      <c r="B22" s="12" t="s">
        <v>38</v>
      </c>
      <c r="C22" s="12" t="s">
        <v>38</v>
      </c>
      <c r="D22" s="13" t="s">
        <v>2312</v>
      </c>
      <c r="E22" s="11"/>
      <c r="F22" s="12"/>
      <c r="G22" s="13" t="str">
        <f>"9780511273124"</f>
        <v>9780511273124</v>
      </c>
      <c r="H22" s="13" t="s">
        <v>1130</v>
      </c>
      <c r="I22" s="11" t="s">
        <v>2777</v>
      </c>
      <c r="J22" s="11"/>
      <c r="K22" s="11"/>
      <c r="L22" s="11"/>
      <c r="M22" s="13" t="s">
        <v>2177</v>
      </c>
      <c r="N22" s="12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3" t="s">
        <v>2766</v>
      </c>
      <c r="AB22" s="13" t="s">
        <v>2509</v>
      </c>
      <c r="AC22" s="13" t="s">
        <v>2313</v>
      </c>
      <c r="AD22" s="13" t="s">
        <v>59</v>
      </c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ht="20.100000000000001" customHeight="1">
      <c r="A23" s="11">
        <v>22</v>
      </c>
      <c r="B23" s="12" t="s">
        <v>38</v>
      </c>
      <c r="C23" s="12" t="s">
        <v>38</v>
      </c>
      <c r="D23" s="13" t="s">
        <v>2312</v>
      </c>
      <c r="E23" s="11"/>
      <c r="F23" s="12"/>
      <c r="G23" s="13" t="str">
        <f>"9780511273018"</f>
        <v>9780511273018</v>
      </c>
      <c r="H23" s="13" t="s">
        <v>1131</v>
      </c>
      <c r="I23" s="11" t="s">
        <v>2777</v>
      </c>
      <c r="J23" s="11"/>
      <c r="K23" s="11"/>
      <c r="L23" s="11"/>
      <c r="M23" s="13" t="s">
        <v>2177</v>
      </c>
      <c r="N23" s="12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3" t="s">
        <v>2766</v>
      </c>
      <c r="AB23" s="13" t="s">
        <v>2510</v>
      </c>
      <c r="AC23" s="13" t="s">
        <v>2313</v>
      </c>
      <c r="AD23" s="13" t="s">
        <v>60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 ht="20.100000000000001" customHeight="1">
      <c r="A24" s="11">
        <v>23</v>
      </c>
      <c r="B24" s="12" t="s">
        <v>38</v>
      </c>
      <c r="C24" s="12" t="s">
        <v>38</v>
      </c>
      <c r="D24" s="13" t="s">
        <v>2312</v>
      </c>
      <c r="E24" s="11"/>
      <c r="F24" s="12"/>
      <c r="G24" s="13" t="str">
        <f>"9780511273148"</f>
        <v>9780511273148</v>
      </c>
      <c r="H24" s="13" t="s">
        <v>1132</v>
      </c>
      <c r="I24" s="11" t="s">
        <v>2777</v>
      </c>
      <c r="J24" s="11"/>
      <c r="K24" s="11"/>
      <c r="L24" s="11"/>
      <c r="M24" s="13" t="s">
        <v>2177</v>
      </c>
      <c r="N24" s="12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3" t="s">
        <v>2766</v>
      </c>
      <c r="AB24" s="13" t="s">
        <v>2511</v>
      </c>
      <c r="AC24" s="13" t="s">
        <v>2313</v>
      </c>
      <c r="AD24" s="13" t="s">
        <v>61</v>
      </c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 ht="20.100000000000001" customHeight="1">
      <c r="A25" s="11">
        <v>24</v>
      </c>
      <c r="B25" s="12" t="s">
        <v>38</v>
      </c>
      <c r="C25" s="12" t="s">
        <v>38</v>
      </c>
      <c r="D25" s="13" t="s">
        <v>2312</v>
      </c>
      <c r="E25" s="11"/>
      <c r="F25" s="12"/>
      <c r="G25" s="13" t="str">
        <f>"9780511273094"</f>
        <v>9780511273094</v>
      </c>
      <c r="H25" s="13" t="s">
        <v>1133</v>
      </c>
      <c r="I25" s="11" t="s">
        <v>2777</v>
      </c>
      <c r="J25" s="11"/>
      <c r="K25" s="11"/>
      <c r="L25" s="11"/>
      <c r="M25" s="13" t="s">
        <v>2177</v>
      </c>
      <c r="N25" s="12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3" t="s">
        <v>2766</v>
      </c>
      <c r="AB25" s="13" t="s">
        <v>2512</v>
      </c>
      <c r="AC25" s="13" t="s">
        <v>2313</v>
      </c>
      <c r="AD25" s="13" t="s">
        <v>62</v>
      </c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0" ht="20.100000000000001" customHeight="1">
      <c r="A26" s="11">
        <v>25</v>
      </c>
      <c r="B26" s="12" t="s">
        <v>38</v>
      </c>
      <c r="C26" s="12" t="s">
        <v>38</v>
      </c>
      <c r="D26" s="13" t="s">
        <v>2312</v>
      </c>
      <c r="E26" s="11"/>
      <c r="F26" s="12"/>
      <c r="G26" s="13" t="str">
        <f>"9780511273063"</f>
        <v>9780511273063</v>
      </c>
      <c r="H26" s="13" t="s">
        <v>1134</v>
      </c>
      <c r="I26" s="11" t="s">
        <v>2777</v>
      </c>
      <c r="J26" s="11"/>
      <c r="K26" s="11"/>
      <c r="L26" s="11"/>
      <c r="M26" s="13" t="s">
        <v>2177</v>
      </c>
      <c r="N26" s="12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3" t="s">
        <v>2766</v>
      </c>
      <c r="AB26" s="13" t="s">
        <v>2513</v>
      </c>
      <c r="AC26" s="13" t="s">
        <v>2313</v>
      </c>
      <c r="AD26" s="13" t="s">
        <v>63</v>
      </c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 ht="20.100000000000001" customHeight="1">
      <c r="A27" s="11">
        <v>26</v>
      </c>
      <c r="B27" s="12" t="s">
        <v>38</v>
      </c>
      <c r="C27" s="12" t="s">
        <v>38</v>
      </c>
      <c r="D27" s="13" t="s">
        <v>2312</v>
      </c>
      <c r="E27" s="11"/>
      <c r="F27" s="12"/>
      <c r="G27" s="13" t="str">
        <f>"9780511273025"</f>
        <v>9780511273025</v>
      </c>
      <c r="H27" s="13" t="s">
        <v>1135</v>
      </c>
      <c r="I27" s="11" t="s">
        <v>2777</v>
      </c>
      <c r="J27" s="11"/>
      <c r="K27" s="11"/>
      <c r="L27" s="11"/>
      <c r="M27" s="13" t="s">
        <v>2177</v>
      </c>
      <c r="N27" s="12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3" t="s">
        <v>2766</v>
      </c>
      <c r="AB27" s="13">
        <v>818.40899999999999</v>
      </c>
      <c r="AC27" s="13" t="s">
        <v>2313</v>
      </c>
      <c r="AD27" s="13" t="s">
        <v>64</v>
      </c>
      <c r="AE27" s="12"/>
      <c r="AF27" s="12"/>
      <c r="AG27" s="12"/>
      <c r="AH27" s="12"/>
      <c r="AI27" s="12"/>
      <c r="AJ27" s="12"/>
      <c r="AK27" s="12"/>
      <c r="AL27" s="12"/>
      <c r="AM27" s="12"/>
      <c r="AN27" s="12"/>
    </row>
    <row r="28" spans="1:40" ht="20.100000000000001" customHeight="1">
      <c r="A28" s="11">
        <v>27</v>
      </c>
      <c r="B28" s="12" t="s">
        <v>38</v>
      </c>
      <c r="C28" s="12" t="s">
        <v>38</v>
      </c>
      <c r="D28" s="13" t="s">
        <v>2312</v>
      </c>
      <c r="E28" s="11"/>
      <c r="F28" s="12"/>
      <c r="G28" s="13" t="str">
        <f>"9780511273049"</f>
        <v>9780511273049</v>
      </c>
      <c r="H28" s="13" t="s">
        <v>1136</v>
      </c>
      <c r="I28" s="11" t="s">
        <v>2777</v>
      </c>
      <c r="J28" s="11"/>
      <c r="K28" s="11"/>
      <c r="L28" s="11"/>
      <c r="M28" s="13" t="s">
        <v>2177</v>
      </c>
      <c r="N28" s="12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3" t="s">
        <v>2766</v>
      </c>
      <c r="AB28" s="13" t="s">
        <v>2512</v>
      </c>
      <c r="AC28" s="13" t="s">
        <v>2313</v>
      </c>
      <c r="AD28" s="13" t="s">
        <v>65</v>
      </c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ht="20.100000000000001" customHeight="1">
      <c r="A29" s="11">
        <v>28</v>
      </c>
      <c r="B29" s="12" t="s">
        <v>38</v>
      </c>
      <c r="C29" s="12" t="s">
        <v>38</v>
      </c>
      <c r="D29" s="13" t="s">
        <v>2312</v>
      </c>
      <c r="E29" s="11"/>
      <c r="F29" s="12"/>
      <c r="G29" s="13" t="str">
        <f>"9780511273117"</f>
        <v>9780511273117</v>
      </c>
      <c r="H29" s="13" t="s">
        <v>1137</v>
      </c>
      <c r="I29" s="11" t="s">
        <v>2777</v>
      </c>
      <c r="J29" s="11"/>
      <c r="K29" s="11"/>
      <c r="L29" s="11"/>
      <c r="M29" s="13" t="s">
        <v>2177</v>
      </c>
      <c r="N29" s="12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3" t="s">
        <v>2766</v>
      </c>
      <c r="AB29" s="13" t="s">
        <v>2501</v>
      </c>
      <c r="AC29" s="13" t="s">
        <v>2313</v>
      </c>
      <c r="AD29" s="13" t="s">
        <v>66</v>
      </c>
      <c r="AE29" s="12"/>
      <c r="AF29" s="12"/>
      <c r="AG29" s="12"/>
      <c r="AH29" s="12"/>
      <c r="AI29" s="12"/>
      <c r="AJ29" s="12"/>
      <c r="AK29" s="12"/>
      <c r="AL29" s="12"/>
      <c r="AM29" s="12"/>
      <c r="AN29" s="12"/>
    </row>
    <row r="30" spans="1:40" ht="20.100000000000001" customHeight="1">
      <c r="A30" s="11">
        <v>29</v>
      </c>
      <c r="B30" s="12" t="s">
        <v>38</v>
      </c>
      <c r="C30" s="12" t="s">
        <v>38</v>
      </c>
      <c r="D30" s="13" t="s">
        <v>2312</v>
      </c>
      <c r="E30" s="11"/>
      <c r="F30" s="12"/>
      <c r="G30" s="13" t="str">
        <f>"9780511273131"</f>
        <v>9780511273131</v>
      </c>
      <c r="H30" s="13" t="s">
        <v>1138</v>
      </c>
      <c r="I30" s="11" t="s">
        <v>2777</v>
      </c>
      <c r="J30" s="11"/>
      <c r="K30" s="11"/>
      <c r="L30" s="11"/>
      <c r="M30" s="13" t="s">
        <v>2177</v>
      </c>
      <c r="N30" s="12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3" t="s">
        <v>2766</v>
      </c>
      <c r="AB30" s="13" t="s">
        <v>2501</v>
      </c>
      <c r="AC30" s="13" t="s">
        <v>2313</v>
      </c>
      <c r="AD30" s="13" t="s">
        <v>67</v>
      </c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ht="20.100000000000001" customHeight="1">
      <c r="A31" s="11">
        <v>30</v>
      </c>
      <c r="B31" s="12" t="s">
        <v>38</v>
      </c>
      <c r="C31" s="12" t="s">
        <v>38</v>
      </c>
      <c r="D31" s="13" t="s">
        <v>2312</v>
      </c>
      <c r="E31" s="11"/>
      <c r="F31" s="12"/>
      <c r="G31" s="13" t="str">
        <f>"9780511273032"</f>
        <v>9780511273032</v>
      </c>
      <c r="H31" s="13" t="s">
        <v>1139</v>
      </c>
      <c r="I31" s="11" t="s">
        <v>2777</v>
      </c>
      <c r="J31" s="11"/>
      <c r="K31" s="11"/>
      <c r="L31" s="11"/>
      <c r="M31" s="13" t="s">
        <v>2177</v>
      </c>
      <c r="N31" s="12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3" t="s">
        <v>2766</v>
      </c>
      <c r="AB31" s="13" t="s">
        <v>2514</v>
      </c>
      <c r="AC31" s="13" t="s">
        <v>2313</v>
      </c>
      <c r="AD31" s="13" t="s">
        <v>68</v>
      </c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pans="1:40" ht="20.100000000000001" customHeight="1">
      <c r="A32" s="11">
        <v>31</v>
      </c>
      <c r="B32" s="12" t="s">
        <v>38</v>
      </c>
      <c r="C32" s="12" t="s">
        <v>38</v>
      </c>
      <c r="D32" s="13" t="s">
        <v>2312</v>
      </c>
      <c r="E32" s="11"/>
      <c r="F32" s="12"/>
      <c r="G32" s="13" t="str">
        <f>"9781405178600"</f>
        <v>9781405178600</v>
      </c>
      <c r="H32" s="13" t="s">
        <v>1140</v>
      </c>
      <c r="I32" s="11" t="s">
        <v>2774</v>
      </c>
      <c r="J32" s="11"/>
      <c r="K32" s="11"/>
      <c r="L32" s="11"/>
      <c r="M32" s="13" t="s">
        <v>2176</v>
      </c>
      <c r="N32" s="12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3" t="s">
        <v>2766</v>
      </c>
      <c r="AB32" s="13">
        <v>190</v>
      </c>
      <c r="AC32" s="13" t="s">
        <v>2325</v>
      </c>
      <c r="AD32" s="13" t="s">
        <v>69</v>
      </c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1:40" ht="20.100000000000001" customHeight="1">
      <c r="A33" s="11">
        <v>32</v>
      </c>
      <c r="B33" s="12" t="s">
        <v>38</v>
      </c>
      <c r="C33" s="12" t="s">
        <v>38</v>
      </c>
      <c r="D33" s="13" t="s">
        <v>2312</v>
      </c>
      <c r="E33" s="11"/>
      <c r="F33" s="12"/>
      <c r="G33" s="13" t="str">
        <f>"9781405178259"</f>
        <v>9781405178259</v>
      </c>
      <c r="H33" s="13" t="s">
        <v>1141</v>
      </c>
      <c r="I33" s="11" t="s">
        <v>2774</v>
      </c>
      <c r="J33" s="11"/>
      <c r="K33" s="11"/>
      <c r="L33" s="11"/>
      <c r="M33" s="13" t="s">
        <v>2176</v>
      </c>
      <c r="N33" s="12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3" t="s">
        <v>2766</v>
      </c>
      <c r="AB33" s="13">
        <v>180</v>
      </c>
      <c r="AC33" s="13" t="s">
        <v>2325</v>
      </c>
      <c r="AD33" s="13" t="s">
        <v>70</v>
      </c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 ht="20.100000000000001" customHeight="1">
      <c r="A34" s="11">
        <v>33</v>
      </c>
      <c r="B34" s="12" t="s">
        <v>38</v>
      </c>
      <c r="C34" s="12" t="s">
        <v>38</v>
      </c>
      <c r="D34" s="13" t="s">
        <v>2312</v>
      </c>
      <c r="E34" s="11"/>
      <c r="F34" s="12"/>
      <c r="G34" s="13" t="str">
        <f>"9780230625181"</f>
        <v>9780230625181</v>
      </c>
      <c r="H34" s="13" t="s">
        <v>1142</v>
      </c>
      <c r="I34" s="11" t="s">
        <v>2774</v>
      </c>
      <c r="J34" s="11"/>
      <c r="K34" s="11"/>
      <c r="L34" s="11"/>
      <c r="M34" s="13" t="s">
        <v>2179</v>
      </c>
      <c r="N34" s="12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3" t="s">
        <v>2766</v>
      </c>
      <c r="AB34" s="13">
        <v>338.88</v>
      </c>
      <c r="AC34" s="13" t="s">
        <v>2326</v>
      </c>
      <c r="AD34" s="13" t="s">
        <v>71</v>
      </c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1:40" ht="20.100000000000001" customHeight="1">
      <c r="A35" s="11">
        <v>34</v>
      </c>
      <c r="B35" s="12" t="s">
        <v>38</v>
      </c>
      <c r="C35" s="12" t="s">
        <v>38</v>
      </c>
      <c r="D35" s="13" t="s">
        <v>2312</v>
      </c>
      <c r="E35" s="11"/>
      <c r="F35" s="12"/>
      <c r="G35" s="13" t="str">
        <f>"9780511283826"</f>
        <v>9780511283826</v>
      </c>
      <c r="H35" s="13" t="s">
        <v>1143</v>
      </c>
      <c r="I35" s="11" t="s">
        <v>2777</v>
      </c>
      <c r="J35" s="11"/>
      <c r="K35" s="11"/>
      <c r="L35" s="11"/>
      <c r="M35" s="13" t="s">
        <v>2177</v>
      </c>
      <c r="N35" s="12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3" t="s">
        <v>2766</v>
      </c>
      <c r="AB35" s="13">
        <v>616.89</v>
      </c>
      <c r="AC35" s="13" t="s">
        <v>2327</v>
      </c>
      <c r="AD35" s="13" t="s">
        <v>72</v>
      </c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 ht="20.100000000000001" customHeight="1">
      <c r="A36" s="11">
        <v>35</v>
      </c>
      <c r="B36" s="12" t="s">
        <v>38</v>
      </c>
      <c r="C36" s="12" t="s">
        <v>38</v>
      </c>
      <c r="D36" s="13" t="s">
        <v>2312</v>
      </c>
      <c r="E36" s="11"/>
      <c r="F36" s="12"/>
      <c r="G36" s="13" t="str">
        <f>"9780511288517"</f>
        <v>9780511288517</v>
      </c>
      <c r="H36" s="13" t="s">
        <v>1144</v>
      </c>
      <c r="I36" s="11" t="s">
        <v>2777</v>
      </c>
      <c r="J36" s="11"/>
      <c r="K36" s="11"/>
      <c r="L36" s="11"/>
      <c r="M36" s="13" t="s">
        <v>2177</v>
      </c>
      <c r="N36" s="12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3" t="s">
        <v>2766</v>
      </c>
      <c r="AB36" s="13" t="s">
        <v>2515</v>
      </c>
      <c r="AC36" s="13" t="s">
        <v>2328</v>
      </c>
      <c r="AD36" s="13" t="s">
        <v>73</v>
      </c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40" ht="20.100000000000001" customHeight="1">
      <c r="A37" s="11">
        <v>36</v>
      </c>
      <c r="B37" s="12" t="s">
        <v>38</v>
      </c>
      <c r="C37" s="12" t="s">
        <v>38</v>
      </c>
      <c r="D37" s="13" t="s">
        <v>2312</v>
      </c>
      <c r="E37" s="11"/>
      <c r="F37" s="12"/>
      <c r="G37" s="13" t="str">
        <f>"9780511288555"</f>
        <v>9780511288555</v>
      </c>
      <c r="H37" s="13" t="s">
        <v>1145</v>
      </c>
      <c r="I37" s="11" t="s">
        <v>2777</v>
      </c>
      <c r="J37" s="11"/>
      <c r="K37" s="11"/>
      <c r="L37" s="11"/>
      <c r="M37" s="13" t="s">
        <v>2177</v>
      </c>
      <c r="N37" s="12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3" t="s">
        <v>2766</v>
      </c>
      <c r="AB37" s="13">
        <v>153</v>
      </c>
      <c r="AC37" s="13" t="s">
        <v>2321</v>
      </c>
      <c r="AD37" s="13" t="s">
        <v>74</v>
      </c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:40" ht="20.100000000000001" customHeight="1">
      <c r="A38" s="11">
        <v>37</v>
      </c>
      <c r="B38" s="12" t="s">
        <v>38</v>
      </c>
      <c r="C38" s="12" t="s">
        <v>38</v>
      </c>
      <c r="D38" s="13" t="s">
        <v>2312</v>
      </c>
      <c r="E38" s="11"/>
      <c r="F38" s="12"/>
      <c r="G38" s="13" t="str">
        <f>"9780511288661"</f>
        <v>9780511288661</v>
      </c>
      <c r="H38" s="13" t="s">
        <v>1146</v>
      </c>
      <c r="I38" s="11" t="s">
        <v>2777</v>
      </c>
      <c r="J38" s="11"/>
      <c r="K38" s="11"/>
      <c r="L38" s="11"/>
      <c r="M38" s="13" t="s">
        <v>2177</v>
      </c>
      <c r="N38" s="12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3" t="s">
        <v>2766</v>
      </c>
      <c r="AB38" s="13">
        <v>523.29999999999995</v>
      </c>
      <c r="AC38" s="13" t="s">
        <v>2320</v>
      </c>
      <c r="AD38" s="13" t="s">
        <v>75</v>
      </c>
      <c r="AE38" s="12"/>
      <c r="AF38" s="12"/>
      <c r="AG38" s="12"/>
      <c r="AH38" s="12"/>
      <c r="AI38" s="12"/>
      <c r="AJ38" s="12"/>
      <c r="AK38" s="12"/>
      <c r="AL38" s="12"/>
      <c r="AM38" s="12"/>
      <c r="AN38" s="12"/>
    </row>
    <row r="39" spans="1:40" ht="20.100000000000001" customHeight="1">
      <c r="A39" s="11">
        <v>38</v>
      </c>
      <c r="B39" s="12" t="s">
        <v>38</v>
      </c>
      <c r="C39" s="12" t="s">
        <v>38</v>
      </c>
      <c r="D39" s="13" t="s">
        <v>2312</v>
      </c>
      <c r="E39" s="11"/>
      <c r="F39" s="12"/>
      <c r="G39" s="13" t="str">
        <f>"9780470766071"</f>
        <v>9780470766071</v>
      </c>
      <c r="H39" s="13" t="s">
        <v>1147</v>
      </c>
      <c r="I39" s="11" t="s">
        <v>2777</v>
      </c>
      <c r="J39" s="11"/>
      <c r="K39" s="11"/>
      <c r="L39" s="11"/>
      <c r="M39" s="13" t="s">
        <v>2176</v>
      </c>
      <c r="N39" s="12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3" t="s">
        <v>2766</v>
      </c>
      <c r="AB39" s="13">
        <v>320.01</v>
      </c>
      <c r="AC39" s="13" t="s">
        <v>2329</v>
      </c>
      <c r="AD39" s="13" t="s">
        <v>76</v>
      </c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pans="1:40" ht="20.100000000000001" customHeight="1">
      <c r="A40" s="11">
        <v>39</v>
      </c>
      <c r="B40" s="12" t="s">
        <v>38</v>
      </c>
      <c r="C40" s="12" t="s">
        <v>38</v>
      </c>
      <c r="D40" s="13" t="s">
        <v>2312</v>
      </c>
      <c r="E40" s="11"/>
      <c r="F40" s="12"/>
      <c r="G40" s="13" t="str">
        <f>"9780470766026"</f>
        <v>9780470766026</v>
      </c>
      <c r="H40" s="13" t="s">
        <v>1148</v>
      </c>
      <c r="I40" s="11" t="s">
        <v>2777</v>
      </c>
      <c r="J40" s="11"/>
      <c r="K40" s="11"/>
      <c r="L40" s="11"/>
      <c r="M40" s="13" t="s">
        <v>2176</v>
      </c>
      <c r="N40" s="12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3" t="s">
        <v>2766</v>
      </c>
      <c r="AB40" s="13">
        <v>305.86807299999998</v>
      </c>
      <c r="AC40" s="13" t="s">
        <v>2330</v>
      </c>
      <c r="AD40" s="13" t="s">
        <v>77</v>
      </c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pans="1:40" ht="20.100000000000001" customHeight="1">
      <c r="A41" s="11">
        <v>40</v>
      </c>
      <c r="B41" s="12" t="s">
        <v>38</v>
      </c>
      <c r="C41" s="12" t="s">
        <v>38</v>
      </c>
      <c r="D41" s="13" t="s">
        <v>2312</v>
      </c>
      <c r="E41" s="11"/>
      <c r="F41" s="12"/>
      <c r="G41" s="13" t="str">
        <f>"9780511347801"</f>
        <v>9780511347801</v>
      </c>
      <c r="H41" s="13" t="s">
        <v>1149</v>
      </c>
      <c r="I41" s="11" t="s">
        <v>2777</v>
      </c>
      <c r="J41" s="11"/>
      <c r="K41" s="11"/>
      <c r="L41" s="11"/>
      <c r="M41" s="13" t="s">
        <v>2177</v>
      </c>
      <c r="N41" s="12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3" t="s">
        <v>2766</v>
      </c>
      <c r="AB41" s="13">
        <v>848.91408999999999</v>
      </c>
      <c r="AC41" s="13" t="s">
        <v>2313</v>
      </c>
      <c r="AD41" s="13" t="s">
        <v>78</v>
      </c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 ht="20.100000000000001" customHeight="1">
      <c r="A42" s="11">
        <v>41</v>
      </c>
      <c r="B42" s="12" t="s">
        <v>38</v>
      </c>
      <c r="C42" s="12" t="s">
        <v>38</v>
      </c>
      <c r="D42" s="13" t="s">
        <v>2312</v>
      </c>
      <c r="E42" s="11"/>
      <c r="F42" s="12"/>
      <c r="G42" s="13" t="str">
        <f>"9780511344329"</f>
        <v>9780511344329</v>
      </c>
      <c r="H42" s="13" t="s">
        <v>1150</v>
      </c>
      <c r="I42" s="11" t="s">
        <v>2774</v>
      </c>
      <c r="J42" s="11"/>
      <c r="K42" s="11"/>
      <c r="L42" s="11"/>
      <c r="M42" s="13" t="s">
        <v>2177</v>
      </c>
      <c r="N42" s="12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3" t="s">
        <v>2766</v>
      </c>
      <c r="AB42" s="13">
        <v>616.5</v>
      </c>
      <c r="AC42" s="13" t="s">
        <v>2328</v>
      </c>
      <c r="AD42" s="13" t="s">
        <v>79</v>
      </c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40" ht="20.100000000000001" customHeight="1">
      <c r="A43" s="11">
        <v>42</v>
      </c>
      <c r="B43" s="12" t="s">
        <v>38</v>
      </c>
      <c r="C43" s="12" t="s">
        <v>38</v>
      </c>
      <c r="D43" s="13" t="s">
        <v>2312</v>
      </c>
      <c r="E43" s="11"/>
      <c r="F43" s="12"/>
      <c r="G43" s="13" t="str">
        <f>"9780511354304"</f>
        <v>9780511354304</v>
      </c>
      <c r="H43" s="13" t="s">
        <v>1151</v>
      </c>
      <c r="I43" s="11" t="s">
        <v>2777</v>
      </c>
      <c r="J43" s="11"/>
      <c r="K43" s="11"/>
      <c r="L43" s="11"/>
      <c r="M43" s="13" t="s">
        <v>2177</v>
      </c>
      <c r="N43" s="12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3" t="s">
        <v>2766</v>
      </c>
      <c r="AB43" s="13">
        <v>616.02499999999998</v>
      </c>
      <c r="AC43" s="13" t="s">
        <v>2328</v>
      </c>
      <c r="AD43" s="13" t="s">
        <v>80</v>
      </c>
      <c r="AE43" s="12"/>
      <c r="AF43" s="12"/>
      <c r="AG43" s="12"/>
      <c r="AH43" s="12"/>
      <c r="AI43" s="12"/>
      <c r="AJ43" s="12"/>
      <c r="AK43" s="12"/>
      <c r="AL43" s="12"/>
      <c r="AM43" s="12"/>
      <c r="AN43" s="12"/>
    </row>
    <row r="44" spans="1:40" ht="20.100000000000001" customHeight="1">
      <c r="A44" s="11">
        <v>43</v>
      </c>
      <c r="B44" s="12" t="s">
        <v>38</v>
      </c>
      <c r="C44" s="12" t="s">
        <v>38</v>
      </c>
      <c r="D44" s="13" t="s">
        <v>2312</v>
      </c>
      <c r="E44" s="11"/>
      <c r="F44" s="12"/>
      <c r="G44" s="13" t="str">
        <f>"9780511365584"</f>
        <v>9780511365584</v>
      </c>
      <c r="H44" s="13" t="s">
        <v>1152</v>
      </c>
      <c r="I44" s="11" t="s">
        <v>2777</v>
      </c>
      <c r="J44" s="11"/>
      <c r="K44" s="11"/>
      <c r="L44" s="11"/>
      <c r="M44" s="13" t="s">
        <v>2177</v>
      </c>
      <c r="N44" s="12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3" t="s">
        <v>2766</v>
      </c>
      <c r="AB44" s="13">
        <v>300.72000000000003</v>
      </c>
      <c r="AC44" s="13" t="s">
        <v>2318</v>
      </c>
      <c r="AD44" s="13" t="s">
        <v>81</v>
      </c>
      <c r="AE44" s="12"/>
      <c r="AF44" s="12"/>
      <c r="AG44" s="12"/>
      <c r="AH44" s="12"/>
      <c r="AI44" s="12"/>
      <c r="AJ44" s="12"/>
      <c r="AK44" s="12"/>
      <c r="AL44" s="12"/>
      <c r="AM44" s="12"/>
      <c r="AN44" s="12"/>
    </row>
    <row r="45" spans="1:40" ht="20.100000000000001" customHeight="1">
      <c r="A45" s="11">
        <v>44</v>
      </c>
      <c r="B45" s="12" t="s">
        <v>38</v>
      </c>
      <c r="C45" s="12" t="s">
        <v>38</v>
      </c>
      <c r="D45" s="13" t="s">
        <v>2312</v>
      </c>
      <c r="E45" s="11"/>
      <c r="F45" s="12"/>
      <c r="G45" s="13" t="str">
        <f>"9780511375781"</f>
        <v>9780511375781</v>
      </c>
      <c r="H45" s="13" t="s">
        <v>1153</v>
      </c>
      <c r="I45" s="11" t="s">
        <v>2777</v>
      </c>
      <c r="J45" s="11"/>
      <c r="K45" s="11"/>
      <c r="L45" s="11"/>
      <c r="M45" s="13" t="s">
        <v>2177</v>
      </c>
      <c r="N45" s="12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3" t="s">
        <v>2766</v>
      </c>
      <c r="AB45" s="13">
        <v>840.9</v>
      </c>
      <c r="AC45" s="13" t="s">
        <v>2313</v>
      </c>
      <c r="AD45" s="13" t="s">
        <v>82</v>
      </c>
      <c r="AE45" s="12"/>
      <c r="AF45" s="12"/>
      <c r="AG45" s="12"/>
      <c r="AH45" s="12"/>
      <c r="AI45" s="12"/>
      <c r="AJ45" s="12"/>
      <c r="AK45" s="12"/>
      <c r="AL45" s="12"/>
      <c r="AM45" s="12"/>
      <c r="AN45" s="12"/>
    </row>
    <row r="46" spans="1:40" ht="20.100000000000001" customHeight="1">
      <c r="A46" s="11">
        <v>45</v>
      </c>
      <c r="B46" s="12" t="s">
        <v>38</v>
      </c>
      <c r="C46" s="12" t="s">
        <v>38</v>
      </c>
      <c r="D46" s="13" t="s">
        <v>2312</v>
      </c>
      <c r="E46" s="11"/>
      <c r="F46" s="12"/>
      <c r="G46" s="13" t="str">
        <f>"9780511375941"</f>
        <v>9780511375941</v>
      </c>
      <c r="H46" s="13" t="s">
        <v>1154</v>
      </c>
      <c r="I46" s="11" t="s">
        <v>2777</v>
      </c>
      <c r="J46" s="11"/>
      <c r="K46" s="11"/>
      <c r="L46" s="11"/>
      <c r="M46" s="13" t="s">
        <v>2177</v>
      </c>
      <c r="N46" s="12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3" t="s">
        <v>2766</v>
      </c>
      <c r="AB46" s="13">
        <v>610.69000000000005</v>
      </c>
      <c r="AC46" s="13" t="s">
        <v>2328</v>
      </c>
      <c r="AD46" s="13" t="s">
        <v>83</v>
      </c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pans="1:40" ht="20.100000000000001" customHeight="1">
      <c r="A47" s="11">
        <v>46</v>
      </c>
      <c r="B47" s="12" t="s">
        <v>38</v>
      </c>
      <c r="C47" s="12" t="s">
        <v>38</v>
      </c>
      <c r="D47" s="13" t="s">
        <v>2312</v>
      </c>
      <c r="E47" s="11"/>
      <c r="F47" s="12"/>
      <c r="G47" s="13" t="str">
        <f>"9781847871480"</f>
        <v>9781847871480</v>
      </c>
      <c r="H47" s="13" t="s">
        <v>1155</v>
      </c>
      <c r="I47" s="11" t="s">
        <v>2776</v>
      </c>
      <c r="J47" s="11"/>
      <c r="K47" s="11"/>
      <c r="L47" s="11"/>
      <c r="M47" s="13" t="s">
        <v>2180</v>
      </c>
      <c r="N47" s="12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3" t="s">
        <v>2766</v>
      </c>
      <c r="AB47" s="13" t="s">
        <v>2516</v>
      </c>
      <c r="AC47" s="13" t="s">
        <v>2318</v>
      </c>
      <c r="AD47" s="13" t="s">
        <v>84</v>
      </c>
      <c r="AE47" s="12"/>
      <c r="AF47" s="12"/>
      <c r="AG47" s="12"/>
      <c r="AH47" s="12"/>
      <c r="AI47" s="12"/>
      <c r="AJ47" s="12"/>
      <c r="AK47" s="12"/>
      <c r="AL47" s="12"/>
      <c r="AM47" s="12"/>
      <c r="AN47" s="12"/>
    </row>
    <row r="48" spans="1:40" ht="20.100000000000001" customHeight="1">
      <c r="A48" s="11">
        <v>47</v>
      </c>
      <c r="B48" s="12" t="s">
        <v>38</v>
      </c>
      <c r="C48" s="12" t="s">
        <v>38</v>
      </c>
      <c r="D48" s="13" t="s">
        <v>2312</v>
      </c>
      <c r="E48" s="11"/>
      <c r="F48" s="12"/>
      <c r="G48" s="13" t="str">
        <f>"9781847877321"</f>
        <v>9781847877321</v>
      </c>
      <c r="H48" s="13" t="s">
        <v>1156</v>
      </c>
      <c r="I48" s="11" t="s">
        <v>2774</v>
      </c>
      <c r="J48" s="11"/>
      <c r="K48" s="11"/>
      <c r="L48" s="11"/>
      <c r="M48" s="13" t="s">
        <v>2180</v>
      </c>
      <c r="N48" s="12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3" t="s">
        <v>2766</v>
      </c>
      <c r="AB48" s="13">
        <v>301.02999999999997</v>
      </c>
      <c r="AC48" s="13" t="s">
        <v>2318</v>
      </c>
      <c r="AD48" s="13" t="s">
        <v>85</v>
      </c>
      <c r="AE48" s="12"/>
      <c r="AF48" s="12"/>
      <c r="AG48" s="12"/>
      <c r="AH48" s="12"/>
      <c r="AI48" s="12"/>
      <c r="AJ48" s="12"/>
      <c r="AK48" s="12"/>
      <c r="AL48" s="12"/>
      <c r="AM48" s="12"/>
      <c r="AN48" s="12"/>
    </row>
    <row r="49" spans="1:40" ht="20.100000000000001" customHeight="1">
      <c r="A49" s="11">
        <v>48</v>
      </c>
      <c r="B49" s="12" t="s">
        <v>38</v>
      </c>
      <c r="C49" s="12" t="s">
        <v>38</v>
      </c>
      <c r="D49" s="13" t="s">
        <v>2312</v>
      </c>
      <c r="E49" s="11"/>
      <c r="F49" s="12"/>
      <c r="G49" s="13" t="str">
        <f>"9780511384004"</f>
        <v>9780511384004</v>
      </c>
      <c r="H49" s="13" t="s">
        <v>1157</v>
      </c>
      <c r="I49" s="11" t="s">
        <v>2778</v>
      </c>
      <c r="J49" s="11"/>
      <c r="K49" s="11"/>
      <c r="L49" s="11"/>
      <c r="M49" s="13" t="s">
        <v>2177</v>
      </c>
      <c r="N49" s="12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3" t="s">
        <v>2766</v>
      </c>
      <c r="AB49" s="13">
        <v>616.5</v>
      </c>
      <c r="AC49" s="13" t="s">
        <v>2328</v>
      </c>
      <c r="AD49" s="13" t="s">
        <v>86</v>
      </c>
      <c r="AE49" s="12"/>
      <c r="AF49" s="12"/>
      <c r="AG49" s="12"/>
      <c r="AH49" s="12"/>
      <c r="AI49" s="12"/>
      <c r="AJ49" s="12"/>
      <c r="AK49" s="12"/>
      <c r="AL49" s="12"/>
      <c r="AM49" s="12"/>
      <c r="AN49" s="12"/>
    </row>
    <row r="50" spans="1:40" ht="20.100000000000001" customHeight="1">
      <c r="A50" s="11">
        <v>49</v>
      </c>
      <c r="B50" s="12" t="s">
        <v>38</v>
      </c>
      <c r="C50" s="12" t="s">
        <v>38</v>
      </c>
      <c r="D50" s="13" t="s">
        <v>2312</v>
      </c>
      <c r="E50" s="11"/>
      <c r="F50" s="12"/>
      <c r="G50" s="13" t="str">
        <f>"9780511384769"</f>
        <v>9780511384769</v>
      </c>
      <c r="H50" s="13" t="s">
        <v>1158</v>
      </c>
      <c r="I50" s="11" t="s">
        <v>2778</v>
      </c>
      <c r="J50" s="11"/>
      <c r="K50" s="11"/>
      <c r="L50" s="11"/>
      <c r="M50" s="13" t="s">
        <v>2177</v>
      </c>
      <c r="N50" s="12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3" t="s">
        <v>2766</v>
      </c>
      <c r="AB50" s="13">
        <v>617.91</v>
      </c>
      <c r="AC50" s="13" t="s">
        <v>2328</v>
      </c>
      <c r="AD50" s="13" t="s">
        <v>87</v>
      </c>
      <c r="AE50" s="12"/>
      <c r="AF50" s="12"/>
      <c r="AG50" s="12"/>
      <c r="AH50" s="12"/>
      <c r="AI50" s="12"/>
      <c r="AJ50" s="12"/>
      <c r="AK50" s="12"/>
      <c r="AL50" s="12"/>
      <c r="AM50" s="12"/>
      <c r="AN50" s="12"/>
    </row>
    <row r="51" spans="1:40" ht="20.100000000000001" customHeight="1">
      <c r="A51" s="11">
        <v>50</v>
      </c>
      <c r="B51" s="12" t="s">
        <v>38</v>
      </c>
      <c r="C51" s="12" t="s">
        <v>38</v>
      </c>
      <c r="D51" s="13" t="s">
        <v>2312</v>
      </c>
      <c r="E51" s="11"/>
      <c r="F51" s="12"/>
      <c r="G51" s="13" t="str">
        <f>"9780511392283"</f>
        <v>9780511392283</v>
      </c>
      <c r="H51" s="13" t="s">
        <v>1159</v>
      </c>
      <c r="I51" s="11" t="s">
        <v>2778</v>
      </c>
      <c r="J51" s="11"/>
      <c r="K51" s="11"/>
      <c r="L51" s="11"/>
      <c r="M51" s="13" t="s">
        <v>2177</v>
      </c>
      <c r="N51" s="12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3" t="s">
        <v>2766</v>
      </c>
      <c r="AB51" s="13">
        <v>821.90994149999995</v>
      </c>
      <c r="AC51" s="13" t="s">
        <v>2313</v>
      </c>
      <c r="AD51" s="13" t="s">
        <v>88</v>
      </c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 spans="1:40" ht="20.100000000000001" customHeight="1">
      <c r="A52" s="11">
        <v>51</v>
      </c>
      <c r="B52" s="12" t="s">
        <v>38</v>
      </c>
      <c r="C52" s="12" t="s">
        <v>38</v>
      </c>
      <c r="D52" s="13" t="s">
        <v>2312</v>
      </c>
      <c r="E52" s="11"/>
      <c r="F52" s="12"/>
      <c r="G52" s="13" t="str">
        <f>"9780511392313"</f>
        <v>9780511392313</v>
      </c>
      <c r="H52" s="13" t="s">
        <v>1160</v>
      </c>
      <c r="I52" s="11" t="s">
        <v>2778</v>
      </c>
      <c r="J52" s="11"/>
      <c r="K52" s="11"/>
      <c r="L52" s="11"/>
      <c r="M52" s="13" t="s">
        <v>2177</v>
      </c>
      <c r="N52" s="12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3" t="s">
        <v>2766</v>
      </c>
      <c r="AB52" s="13">
        <v>823.8</v>
      </c>
      <c r="AC52" s="13" t="s">
        <v>2313</v>
      </c>
      <c r="AD52" s="13" t="s">
        <v>89</v>
      </c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:40" ht="20.100000000000001" customHeight="1">
      <c r="A53" s="11">
        <v>52</v>
      </c>
      <c r="B53" s="12" t="s">
        <v>38</v>
      </c>
      <c r="C53" s="12" t="s">
        <v>38</v>
      </c>
      <c r="D53" s="13" t="s">
        <v>2312</v>
      </c>
      <c r="E53" s="11"/>
      <c r="F53" s="12"/>
      <c r="G53" s="13" t="str">
        <f>"9780511392320"</f>
        <v>9780511392320</v>
      </c>
      <c r="H53" s="13" t="s">
        <v>1161</v>
      </c>
      <c r="I53" s="11" t="s">
        <v>2778</v>
      </c>
      <c r="J53" s="11"/>
      <c r="K53" s="11"/>
      <c r="L53" s="11"/>
      <c r="M53" s="13" t="s">
        <v>2177</v>
      </c>
      <c r="N53" s="12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3" t="s">
        <v>2766</v>
      </c>
      <c r="AB53" s="13">
        <v>813.52</v>
      </c>
      <c r="AC53" s="13" t="s">
        <v>2313</v>
      </c>
      <c r="AD53" s="13" t="s">
        <v>90</v>
      </c>
      <c r="AE53" s="12"/>
      <c r="AF53" s="12"/>
      <c r="AG53" s="12"/>
      <c r="AH53" s="12"/>
      <c r="AI53" s="12"/>
      <c r="AJ53" s="12"/>
      <c r="AK53" s="12"/>
      <c r="AL53" s="12"/>
      <c r="AM53" s="12"/>
      <c r="AN53" s="12"/>
    </row>
    <row r="54" spans="1:40" ht="20.100000000000001" customHeight="1">
      <c r="A54" s="11">
        <v>53</v>
      </c>
      <c r="B54" s="12" t="s">
        <v>38</v>
      </c>
      <c r="C54" s="12" t="s">
        <v>38</v>
      </c>
      <c r="D54" s="13" t="s">
        <v>2312</v>
      </c>
      <c r="E54" s="11"/>
      <c r="F54" s="12"/>
      <c r="G54" s="13" t="str">
        <f>"9780511392160"</f>
        <v>9780511392160</v>
      </c>
      <c r="H54" s="13" t="s">
        <v>1162</v>
      </c>
      <c r="I54" s="11" t="s">
        <v>2778</v>
      </c>
      <c r="J54" s="11"/>
      <c r="K54" s="11"/>
      <c r="L54" s="11"/>
      <c r="M54" s="13" t="s">
        <v>2177</v>
      </c>
      <c r="N54" s="12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3" t="s">
        <v>2766</v>
      </c>
      <c r="AB54" s="13" t="s">
        <v>2501</v>
      </c>
      <c r="AC54" s="13" t="s">
        <v>2313</v>
      </c>
      <c r="AD54" s="13" t="s">
        <v>91</v>
      </c>
      <c r="AE54" s="12"/>
      <c r="AF54" s="12"/>
      <c r="AG54" s="12"/>
      <c r="AH54" s="12"/>
      <c r="AI54" s="12"/>
      <c r="AJ54" s="12"/>
      <c r="AK54" s="12"/>
      <c r="AL54" s="12"/>
      <c r="AM54" s="12"/>
      <c r="AN54" s="12"/>
    </row>
    <row r="55" spans="1:40" ht="20.100000000000001" customHeight="1">
      <c r="A55" s="11">
        <v>54</v>
      </c>
      <c r="B55" s="12" t="s">
        <v>38</v>
      </c>
      <c r="C55" s="12" t="s">
        <v>38</v>
      </c>
      <c r="D55" s="13" t="s">
        <v>2312</v>
      </c>
      <c r="E55" s="11"/>
      <c r="F55" s="12"/>
      <c r="G55" s="13" t="str">
        <f>"9780511399640"</f>
        <v>9780511399640</v>
      </c>
      <c r="H55" s="13" t="s">
        <v>1163</v>
      </c>
      <c r="I55" s="11" t="s">
        <v>2778</v>
      </c>
      <c r="J55" s="11"/>
      <c r="K55" s="11"/>
      <c r="L55" s="11"/>
      <c r="M55" s="13" t="s">
        <v>2177</v>
      </c>
      <c r="N55" s="12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3" t="s">
        <v>2766</v>
      </c>
      <c r="AB55" s="13">
        <v>660.65</v>
      </c>
      <c r="AC55" s="13" t="s">
        <v>2331</v>
      </c>
      <c r="AD55" s="13" t="s">
        <v>92</v>
      </c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1:40" ht="20.100000000000001" customHeight="1">
      <c r="A56" s="11">
        <v>55</v>
      </c>
      <c r="B56" s="12" t="s">
        <v>38</v>
      </c>
      <c r="C56" s="12" t="s">
        <v>38</v>
      </c>
      <c r="D56" s="13" t="s">
        <v>2312</v>
      </c>
      <c r="E56" s="11"/>
      <c r="F56" s="12"/>
      <c r="G56" s="13" t="str">
        <f>"9780511408052"</f>
        <v>9780511408052</v>
      </c>
      <c r="H56" s="13" t="s">
        <v>1164</v>
      </c>
      <c r="I56" s="11" t="s">
        <v>2778</v>
      </c>
      <c r="J56" s="11"/>
      <c r="K56" s="11"/>
      <c r="L56" s="11"/>
      <c r="M56" s="13" t="s">
        <v>2177</v>
      </c>
      <c r="N56" s="12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3" t="s">
        <v>2766</v>
      </c>
      <c r="AB56" s="13">
        <v>617.10757000000001</v>
      </c>
      <c r="AC56" s="13" t="s">
        <v>2328</v>
      </c>
      <c r="AD56" s="13" t="s">
        <v>93</v>
      </c>
      <c r="AE56" s="12"/>
      <c r="AF56" s="12"/>
      <c r="AG56" s="12"/>
      <c r="AH56" s="12"/>
      <c r="AI56" s="12"/>
      <c r="AJ56" s="12"/>
      <c r="AK56" s="12"/>
      <c r="AL56" s="12"/>
      <c r="AM56" s="12"/>
      <c r="AN56" s="12"/>
    </row>
    <row r="57" spans="1:40" ht="20.100000000000001" customHeight="1">
      <c r="A57" s="11">
        <v>56</v>
      </c>
      <c r="B57" s="12" t="s">
        <v>38</v>
      </c>
      <c r="C57" s="12" t="s">
        <v>38</v>
      </c>
      <c r="D57" s="13" t="s">
        <v>2312</v>
      </c>
      <c r="E57" s="11"/>
      <c r="F57" s="12"/>
      <c r="G57" s="13" t="str">
        <f>"9780511407864"</f>
        <v>9780511407864</v>
      </c>
      <c r="H57" s="13" t="s">
        <v>1165</v>
      </c>
      <c r="I57" s="11" t="s">
        <v>2778</v>
      </c>
      <c r="J57" s="11"/>
      <c r="K57" s="11"/>
      <c r="L57" s="11"/>
      <c r="M57" s="13" t="s">
        <v>2177</v>
      </c>
      <c r="N57" s="12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3" t="s">
        <v>2766</v>
      </c>
      <c r="AB57" s="13">
        <v>571.6</v>
      </c>
      <c r="AC57" s="13" t="s">
        <v>2332</v>
      </c>
      <c r="AD57" s="13" t="s">
        <v>94</v>
      </c>
      <c r="AE57" s="12"/>
      <c r="AF57" s="12"/>
      <c r="AG57" s="12"/>
      <c r="AH57" s="12"/>
      <c r="AI57" s="12"/>
      <c r="AJ57" s="12"/>
      <c r="AK57" s="12"/>
      <c r="AL57" s="12"/>
      <c r="AM57" s="12"/>
      <c r="AN57" s="12"/>
    </row>
    <row r="58" spans="1:40" ht="20.100000000000001" customHeight="1">
      <c r="A58" s="11">
        <v>57</v>
      </c>
      <c r="B58" s="12" t="s">
        <v>38</v>
      </c>
      <c r="C58" s="12" t="s">
        <v>38</v>
      </c>
      <c r="D58" s="13" t="s">
        <v>2312</v>
      </c>
      <c r="E58" s="11"/>
      <c r="F58" s="12"/>
      <c r="G58" s="13" t="str">
        <f>"9780470756447"</f>
        <v>9780470756447</v>
      </c>
      <c r="H58" s="13" t="s">
        <v>1166</v>
      </c>
      <c r="I58" s="11" t="s">
        <v>2779</v>
      </c>
      <c r="J58" s="11"/>
      <c r="K58" s="11"/>
      <c r="L58" s="11"/>
      <c r="M58" s="13" t="s">
        <v>2176</v>
      </c>
      <c r="N58" s="12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3" t="s">
        <v>2766</v>
      </c>
      <c r="AB58" s="13">
        <v>973.3</v>
      </c>
      <c r="AC58" s="13" t="s">
        <v>2317</v>
      </c>
      <c r="AD58" s="13" t="s">
        <v>95</v>
      </c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  <row r="59" spans="1:40" ht="20.100000000000001" customHeight="1">
      <c r="A59" s="11">
        <v>58</v>
      </c>
      <c r="B59" s="12" t="s">
        <v>38</v>
      </c>
      <c r="C59" s="12" t="s">
        <v>38</v>
      </c>
      <c r="D59" s="13" t="s">
        <v>2312</v>
      </c>
      <c r="E59" s="11"/>
      <c r="F59" s="12"/>
      <c r="G59" s="13" t="str">
        <f>"9780511412844"</f>
        <v>9780511412844</v>
      </c>
      <c r="H59" s="13" t="s">
        <v>1167</v>
      </c>
      <c r="I59" s="11" t="s">
        <v>2778</v>
      </c>
      <c r="J59" s="11"/>
      <c r="K59" s="11"/>
      <c r="L59" s="11"/>
      <c r="M59" s="13" t="s">
        <v>2177</v>
      </c>
      <c r="N59" s="12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3" t="s">
        <v>2766</v>
      </c>
      <c r="AB59" s="13">
        <v>891.70899999999995</v>
      </c>
      <c r="AC59" s="13" t="s">
        <v>2313</v>
      </c>
      <c r="AD59" s="13" t="s">
        <v>96</v>
      </c>
      <c r="AE59" s="12"/>
      <c r="AF59" s="12"/>
      <c r="AG59" s="12"/>
      <c r="AH59" s="12"/>
      <c r="AI59" s="12"/>
      <c r="AJ59" s="12"/>
      <c r="AK59" s="12"/>
      <c r="AL59" s="12"/>
      <c r="AM59" s="12"/>
      <c r="AN59" s="12"/>
    </row>
    <row r="60" spans="1:40" ht="20.100000000000001" customHeight="1">
      <c r="A60" s="11">
        <v>59</v>
      </c>
      <c r="B60" s="12" t="s">
        <v>38</v>
      </c>
      <c r="C60" s="12" t="s">
        <v>38</v>
      </c>
      <c r="D60" s="13" t="s">
        <v>2312</v>
      </c>
      <c r="E60" s="11"/>
      <c r="F60" s="12"/>
      <c r="G60" s="13" t="str">
        <f>"9780511422331"</f>
        <v>9780511422331</v>
      </c>
      <c r="H60" s="13" t="s">
        <v>1168</v>
      </c>
      <c r="I60" s="11" t="s">
        <v>2778</v>
      </c>
      <c r="J60" s="11"/>
      <c r="K60" s="11"/>
      <c r="L60" s="11"/>
      <c r="M60" s="13" t="s">
        <v>2177</v>
      </c>
      <c r="N60" s="12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3" t="s">
        <v>2766</v>
      </c>
      <c r="AB60" s="13" t="s">
        <v>2517</v>
      </c>
      <c r="AC60" s="13" t="s">
        <v>2328</v>
      </c>
      <c r="AD60" s="13" t="s">
        <v>97</v>
      </c>
      <c r="AE60" s="12"/>
      <c r="AF60" s="12"/>
      <c r="AG60" s="12"/>
      <c r="AH60" s="12"/>
      <c r="AI60" s="12"/>
      <c r="AJ60" s="12"/>
      <c r="AK60" s="12"/>
      <c r="AL60" s="12"/>
      <c r="AM60" s="12"/>
      <c r="AN60" s="12"/>
    </row>
    <row r="61" spans="1:40" ht="20.100000000000001" customHeight="1">
      <c r="A61" s="11">
        <v>60</v>
      </c>
      <c r="B61" s="12" t="s">
        <v>38</v>
      </c>
      <c r="C61" s="12" t="s">
        <v>38</v>
      </c>
      <c r="D61" s="13" t="s">
        <v>2312</v>
      </c>
      <c r="E61" s="11"/>
      <c r="F61" s="12"/>
      <c r="G61" s="13" t="str">
        <f>"9780511422348"</f>
        <v>9780511422348</v>
      </c>
      <c r="H61" s="13" t="s">
        <v>1169</v>
      </c>
      <c r="I61" s="11" t="s">
        <v>2778</v>
      </c>
      <c r="J61" s="11"/>
      <c r="K61" s="11"/>
      <c r="L61" s="11"/>
      <c r="M61" s="13" t="s">
        <v>2177</v>
      </c>
      <c r="N61" s="12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3" t="s">
        <v>2766</v>
      </c>
      <c r="AB61" s="13" t="s">
        <v>2518</v>
      </c>
      <c r="AC61" s="13" t="s">
        <v>2333</v>
      </c>
      <c r="AD61" s="13" t="s">
        <v>98</v>
      </c>
      <c r="AE61" s="12"/>
      <c r="AF61" s="12"/>
      <c r="AG61" s="12"/>
      <c r="AH61" s="12"/>
      <c r="AI61" s="12"/>
      <c r="AJ61" s="12"/>
      <c r="AK61" s="12"/>
      <c r="AL61" s="12"/>
      <c r="AM61" s="12"/>
      <c r="AN61" s="12"/>
    </row>
    <row r="62" spans="1:40" ht="20.100000000000001" customHeight="1">
      <c r="A62" s="11">
        <v>61</v>
      </c>
      <c r="B62" s="12" t="s">
        <v>38</v>
      </c>
      <c r="C62" s="12" t="s">
        <v>38</v>
      </c>
      <c r="D62" s="13" t="s">
        <v>2312</v>
      </c>
      <c r="E62" s="11"/>
      <c r="F62" s="12"/>
      <c r="G62" s="13" t="str">
        <f>"9780511428258"</f>
        <v>9780511428258</v>
      </c>
      <c r="H62" s="13" t="s">
        <v>1170</v>
      </c>
      <c r="I62" s="11" t="s">
        <v>2778</v>
      </c>
      <c r="J62" s="11"/>
      <c r="K62" s="11"/>
      <c r="L62" s="11"/>
      <c r="M62" s="13" t="s">
        <v>2177</v>
      </c>
      <c r="N62" s="12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3" t="s">
        <v>2766</v>
      </c>
      <c r="AB62" s="13">
        <v>616.89</v>
      </c>
      <c r="AC62" s="13" t="s">
        <v>2327</v>
      </c>
      <c r="AD62" s="13" t="s">
        <v>99</v>
      </c>
      <c r="AE62" s="12"/>
      <c r="AF62" s="12"/>
      <c r="AG62" s="12"/>
      <c r="AH62" s="12"/>
      <c r="AI62" s="12"/>
      <c r="AJ62" s="12"/>
      <c r="AK62" s="12"/>
      <c r="AL62" s="12"/>
      <c r="AM62" s="12"/>
      <c r="AN62" s="12"/>
    </row>
    <row r="63" spans="1:40" ht="20.100000000000001" customHeight="1">
      <c r="A63" s="11">
        <v>62</v>
      </c>
      <c r="B63" s="12" t="s">
        <v>38</v>
      </c>
      <c r="C63" s="12" t="s">
        <v>38</v>
      </c>
      <c r="D63" s="13" t="s">
        <v>2312</v>
      </c>
      <c r="E63" s="11"/>
      <c r="F63" s="12"/>
      <c r="G63" s="13" t="str">
        <f>"9780511428302"</f>
        <v>9780511428302</v>
      </c>
      <c r="H63" s="13" t="s">
        <v>1171</v>
      </c>
      <c r="I63" s="11" t="s">
        <v>2778</v>
      </c>
      <c r="J63" s="11"/>
      <c r="K63" s="11"/>
      <c r="L63" s="11"/>
      <c r="M63" s="13" t="s">
        <v>2177</v>
      </c>
      <c r="N63" s="1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3" t="s">
        <v>2766</v>
      </c>
      <c r="AB63" s="13" t="s">
        <v>2510</v>
      </c>
      <c r="AC63" s="13" t="s">
        <v>2313</v>
      </c>
      <c r="AD63" s="13" t="s">
        <v>100</v>
      </c>
      <c r="AE63" s="12"/>
      <c r="AF63" s="12"/>
      <c r="AG63" s="12"/>
      <c r="AH63" s="12"/>
      <c r="AI63" s="12"/>
      <c r="AJ63" s="12"/>
      <c r="AK63" s="12"/>
      <c r="AL63" s="12"/>
      <c r="AM63" s="12"/>
      <c r="AN63" s="12"/>
    </row>
    <row r="64" spans="1:40" ht="20.100000000000001" customHeight="1">
      <c r="A64" s="11">
        <v>63</v>
      </c>
      <c r="B64" s="12" t="s">
        <v>38</v>
      </c>
      <c r="C64" s="12" t="s">
        <v>38</v>
      </c>
      <c r="D64" s="13" t="s">
        <v>2312</v>
      </c>
      <c r="E64" s="11"/>
      <c r="F64" s="12"/>
      <c r="G64" s="13" t="str">
        <f>"9780511428319"</f>
        <v>9780511428319</v>
      </c>
      <c r="H64" s="13" t="s">
        <v>1172</v>
      </c>
      <c r="I64" s="11" t="s">
        <v>2778</v>
      </c>
      <c r="J64" s="11"/>
      <c r="K64" s="11"/>
      <c r="L64" s="11"/>
      <c r="M64" s="13" t="s">
        <v>2177</v>
      </c>
      <c r="N64" s="1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3" t="s">
        <v>2766</v>
      </c>
      <c r="AB64" s="13" t="s">
        <v>2511</v>
      </c>
      <c r="AC64" s="13" t="s">
        <v>2313</v>
      </c>
      <c r="AD64" s="13" t="s">
        <v>101</v>
      </c>
      <c r="AE64" s="12"/>
      <c r="AF64" s="12"/>
      <c r="AG64" s="12"/>
      <c r="AH64" s="12"/>
      <c r="AI64" s="12"/>
      <c r="AJ64" s="12"/>
      <c r="AK64" s="12"/>
      <c r="AL64" s="12"/>
      <c r="AM64" s="12"/>
      <c r="AN64" s="12"/>
    </row>
    <row r="65" spans="1:40" ht="20.100000000000001" customHeight="1">
      <c r="A65" s="11">
        <v>64</v>
      </c>
      <c r="B65" s="12" t="s">
        <v>38</v>
      </c>
      <c r="C65" s="12" t="s">
        <v>38</v>
      </c>
      <c r="D65" s="13" t="s">
        <v>2312</v>
      </c>
      <c r="E65" s="11"/>
      <c r="F65" s="12"/>
      <c r="G65" s="13" t="str">
        <f>"9780511428340"</f>
        <v>9780511428340</v>
      </c>
      <c r="H65" s="13" t="s">
        <v>1173</v>
      </c>
      <c r="I65" s="11" t="s">
        <v>2778</v>
      </c>
      <c r="J65" s="11"/>
      <c r="K65" s="11"/>
      <c r="L65" s="11"/>
      <c r="M65" s="13" t="s">
        <v>2177</v>
      </c>
      <c r="N65" s="12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3" t="s">
        <v>2766</v>
      </c>
      <c r="AB65" s="13" t="s">
        <v>2519</v>
      </c>
      <c r="AC65" s="13" t="s">
        <v>2313</v>
      </c>
      <c r="AD65" s="13" t="s">
        <v>102</v>
      </c>
      <c r="AE65" s="12"/>
      <c r="AF65" s="12"/>
      <c r="AG65" s="12"/>
      <c r="AH65" s="12"/>
      <c r="AI65" s="12"/>
      <c r="AJ65" s="12"/>
      <c r="AK65" s="12"/>
      <c r="AL65" s="12"/>
      <c r="AM65" s="12"/>
      <c r="AN65" s="12"/>
    </row>
    <row r="66" spans="1:40" ht="20.100000000000001" customHeight="1">
      <c r="A66" s="11">
        <v>65</v>
      </c>
      <c r="B66" s="12" t="s">
        <v>38</v>
      </c>
      <c r="C66" s="12" t="s">
        <v>38</v>
      </c>
      <c r="D66" s="13" t="s">
        <v>2312</v>
      </c>
      <c r="E66" s="11"/>
      <c r="F66" s="12"/>
      <c r="G66" s="13" t="str">
        <f>"9780511428357"</f>
        <v>9780511428357</v>
      </c>
      <c r="H66" s="13" t="s">
        <v>1174</v>
      </c>
      <c r="I66" s="11" t="s">
        <v>2778</v>
      </c>
      <c r="J66" s="11"/>
      <c r="K66" s="11"/>
      <c r="L66" s="11"/>
      <c r="M66" s="13" t="s">
        <v>2177</v>
      </c>
      <c r="N66" s="12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3" t="s">
        <v>2766</v>
      </c>
      <c r="AB66" s="13">
        <v>194</v>
      </c>
      <c r="AC66" s="13" t="s">
        <v>2325</v>
      </c>
      <c r="AD66" s="13" t="s">
        <v>103</v>
      </c>
      <c r="AE66" s="12"/>
      <c r="AF66" s="12"/>
      <c r="AG66" s="12"/>
      <c r="AH66" s="12"/>
      <c r="AI66" s="12"/>
      <c r="AJ66" s="12"/>
      <c r="AK66" s="12"/>
      <c r="AL66" s="12"/>
      <c r="AM66" s="12"/>
      <c r="AN66" s="12"/>
    </row>
    <row r="67" spans="1:40" ht="20.100000000000001" customHeight="1">
      <c r="A67" s="11">
        <v>66</v>
      </c>
      <c r="B67" s="12" t="s">
        <v>38</v>
      </c>
      <c r="C67" s="12" t="s">
        <v>38</v>
      </c>
      <c r="D67" s="13" t="s">
        <v>2312</v>
      </c>
      <c r="E67" s="11"/>
      <c r="F67" s="12"/>
      <c r="G67" s="13" t="str">
        <f>"9780511428364"</f>
        <v>9780511428364</v>
      </c>
      <c r="H67" s="13" t="s">
        <v>1175</v>
      </c>
      <c r="I67" s="11" t="s">
        <v>2778</v>
      </c>
      <c r="J67" s="11"/>
      <c r="K67" s="11"/>
      <c r="L67" s="11"/>
      <c r="M67" s="13" t="s">
        <v>2177</v>
      </c>
      <c r="N67" s="12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3" t="s">
        <v>2766</v>
      </c>
      <c r="AB67" s="13">
        <v>838.91209000000003</v>
      </c>
      <c r="AC67" s="13" t="s">
        <v>2313</v>
      </c>
      <c r="AD67" s="13" t="s">
        <v>104</v>
      </c>
      <c r="AE67" s="12"/>
      <c r="AF67" s="12"/>
      <c r="AG67" s="12"/>
      <c r="AH67" s="12"/>
      <c r="AI67" s="12"/>
      <c r="AJ67" s="12"/>
      <c r="AK67" s="12"/>
      <c r="AL67" s="12"/>
      <c r="AM67" s="12"/>
      <c r="AN67" s="12"/>
    </row>
    <row r="68" spans="1:40" ht="20.100000000000001" customHeight="1">
      <c r="A68" s="11">
        <v>67</v>
      </c>
      <c r="B68" s="12" t="s">
        <v>38</v>
      </c>
      <c r="C68" s="12" t="s">
        <v>38</v>
      </c>
      <c r="D68" s="13" t="s">
        <v>2312</v>
      </c>
      <c r="E68" s="11"/>
      <c r="F68" s="12"/>
      <c r="G68" s="13" t="str">
        <f>"9780511428388"</f>
        <v>9780511428388</v>
      </c>
      <c r="H68" s="13" t="s">
        <v>1176</v>
      </c>
      <c r="I68" s="11" t="s">
        <v>2778</v>
      </c>
      <c r="J68" s="11"/>
      <c r="K68" s="11"/>
      <c r="L68" s="11"/>
      <c r="M68" s="13" t="s">
        <v>2177</v>
      </c>
      <c r="N68" s="12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3" t="s">
        <v>2766</v>
      </c>
      <c r="AB68" s="13" t="s">
        <v>2520</v>
      </c>
      <c r="AC68" s="13" t="s">
        <v>2313</v>
      </c>
      <c r="AD68" s="13" t="s">
        <v>105</v>
      </c>
      <c r="AE68" s="12"/>
      <c r="AF68" s="12"/>
      <c r="AG68" s="12"/>
      <c r="AH68" s="12"/>
      <c r="AI68" s="12"/>
      <c r="AJ68" s="12"/>
      <c r="AK68" s="12"/>
      <c r="AL68" s="12"/>
      <c r="AM68" s="12"/>
      <c r="AN68" s="12"/>
    </row>
    <row r="69" spans="1:40" ht="20.100000000000001" customHeight="1">
      <c r="A69" s="11">
        <v>68</v>
      </c>
      <c r="B69" s="12" t="s">
        <v>38</v>
      </c>
      <c r="C69" s="12" t="s">
        <v>38</v>
      </c>
      <c r="D69" s="13" t="s">
        <v>2312</v>
      </c>
      <c r="E69" s="11"/>
      <c r="F69" s="12"/>
      <c r="G69" s="13" t="str">
        <f>"9789221174745"</f>
        <v>9789221174745</v>
      </c>
      <c r="H69" s="13" t="s">
        <v>1177</v>
      </c>
      <c r="I69" s="11" t="s">
        <v>2773</v>
      </c>
      <c r="J69" s="11"/>
      <c r="K69" s="11"/>
      <c r="L69" s="11"/>
      <c r="M69" s="13" t="s">
        <v>2181</v>
      </c>
      <c r="N69" s="12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3" t="s">
        <v>2766</v>
      </c>
      <c r="AB69" s="13" t="s">
        <v>2521</v>
      </c>
      <c r="AC69" s="13" t="s">
        <v>2334</v>
      </c>
      <c r="AD69" s="13" t="s">
        <v>106</v>
      </c>
      <c r="AE69" s="12"/>
      <c r="AF69" s="12"/>
      <c r="AG69" s="12"/>
      <c r="AH69" s="12"/>
      <c r="AI69" s="12"/>
      <c r="AJ69" s="12"/>
      <c r="AK69" s="12"/>
      <c r="AL69" s="12"/>
      <c r="AM69" s="12"/>
      <c r="AN69" s="12"/>
    </row>
    <row r="70" spans="1:40" ht="20.100000000000001" customHeight="1">
      <c r="A70" s="11">
        <v>69</v>
      </c>
      <c r="B70" s="12" t="s">
        <v>38</v>
      </c>
      <c r="C70" s="12" t="s">
        <v>38</v>
      </c>
      <c r="D70" s="13" t="s">
        <v>2312</v>
      </c>
      <c r="E70" s="11"/>
      <c r="F70" s="12"/>
      <c r="G70" s="13" t="str">
        <f>"9781593394769"</f>
        <v>9781593394769</v>
      </c>
      <c r="H70" s="13" t="s">
        <v>1178</v>
      </c>
      <c r="I70" s="11" t="s">
        <v>2778</v>
      </c>
      <c r="J70" s="11"/>
      <c r="K70" s="11"/>
      <c r="L70" s="11"/>
      <c r="M70" s="13" t="s">
        <v>2182</v>
      </c>
      <c r="N70" s="12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3" t="s">
        <v>2766</v>
      </c>
      <c r="AB70" s="13"/>
      <c r="AC70" s="13" t="s">
        <v>2335</v>
      </c>
      <c r="AD70" s="13" t="s">
        <v>107</v>
      </c>
      <c r="AE70" s="12"/>
      <c r="AF70" s="12"/>
      <c r="AG70" s="12"/>
      <c r="AH70" s="12"/>
      <c r="AI70" s="12"/>
      <c r="AJ70" s="12"/>
      <c r="AK70" s="12"/>
      <c r="AL70" s="12"/>
      <c r="AM70" s="12"/>
      <c r="AN70" s="12"/>
    </row>
    <row r="71" spans="1:40" ht="20.100000000000001" customHeight="1">
      <c r="A71" s="11">
        <v>70</v>
      </c>
      <c r="B71" s="12" t="s">
        <v>38</v>
      </c>
      <c r="C71" s="12" t="s">
        <v>38</v>
      </c>
      <c r="D71" s="13" t="s">
        <v>2312</v>
      </c>
      <c r="E71" s="11"/>
      <c r="F71" s="12"/>
      <c r="G71" s="13" t="str">
        <f>"9780470386156"</f>
        <v>9780470386156</v>
      </c>
      <c r="H71" s="13" t="s">
        <v>1179</v>
      </c>
      <c r="I71" s="11" t="s">
        <v>2778</v>
      </c>
      <c r="J71" s="11"/>
      <c r="K71" s="11"/>
      <c r="L71" s="11"/>
      <c r="M71" s="13" t="s">
        <v>2176</v>
      </c>
      <c r="N71" s="12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3" t="s">
        <v>2766</v>
      </c>
      <c r="AB71" s="13" t="s">
        <v>2522</v>
      </c>
      <c r="AC71" s="13" t="s">
        <v>2327</v>
      </c>
      <c r="AD71" s="13" t="s">
        <v>108</v>
      </c>
      <c r="AE71" s="12"/>
      <c r="AF71" s="12"/>
      <c r="AG71" s="12"/>
      <c r="AH71" s="12"/>
      <c r="AI71" s="12"/>
      <c r="AJ71" s="12"/>
      <c r="AK71" s="12"/>
      <c r="AL71" s="12"/>
      <c r="AM71" s="12"/>
      <c r="AN71" s="12"/>
    </row>
    <row r="72" spans="1:40" ht="20.100000000000001" customHeight="1">
      <c r="A72" s="11">
        <v>71</v>
      </c>
      <c r="B72" s="12" t="s">
        <v>38</v>
      </c>
      <c r="C72" s="12" t="s">
        <v>38</v>
      </c>
      <c r="D72" s="13" t="s">
        <v>2312</v>
      </c>
      <c r="E72" s="11"/>
      <c r="F72" s="12"/>
      <c r="G72" s="13" t="str">
        <f>"9780511435959"</f>
        <v>9780511435959</v>
      </c>
      <c r="H72" s="13" t="s">
        <v>1180</v>
      </c>
      <c r="I72" s="11" t="s">
        <v>2778</v>
      </c>
      <c r="J72" s="11"/>
      <c r="K72" s="11"/>
      <c r="L72" s="11"/>
      <c r="M72" s="13" t="s">
        <v>2177</v>
      </c>
      <c r="N72" s="12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3" t="s">
        <v>2766</v>
      </c>
      <c r="AB72" s="13">
        <v>121</v>
      </c>
      <c r="AC72" s="13" t="s">
        <v>2336</v>
      </c>
      <c r="AD72" s="13" t="s">
        <v>109</v>
      </c>
      <c r="AE72" s="12"/>
      <c r="AF72" s="12"/>
      <c r="AG72" s="12"/>
      <c r="AH72" s="12"/>
      <c r="AI72" s="12"/>
      <c r="AJ72" s="12"/>
      <c r="AK72" s="12"/>
      <c r="AL72" s="12"/>
      <c r="AM72" s="12"/>
      <c r="AN72" s="12"/>
    </row>
    <row r="73" spans="1:40" ht="20.100000000000001" customHeight="1">
      <c r="A73" s="11">
        <v>72</v>
      </c>
      <c r="B73" s="12" t="s">
        <v>38</v>
      </c>
      <c r="C73" s="12" t="s">
        <v>38</v>
      </c>
      <c r="D73" s="13" t="s">
        <v>2312</v>
      </c>
      <c r="E73" s="11"/>
      <c r="F73" s="12"/>
      <c r="G73" s="13" t="str">
        <f>"9780511463013"</f>
        <v>9780511463013</v>
      </c>
      <c r="H73" s="13" t="s">
        <v>1181</v>
      </c>
      <c r="I73" s="11" t="s">
        <v>2780</v>
      </c>
      <c r="J73" s="11"/>
      <c r="K73" s="11"/>
      <c r="L73" s="11"/>
      <c r="M73" s="13" t="s">
        <v>2177</v>
      </c>
      <c r="N73" s="12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3" t="s">
        <v>2766</v>
      </c>
      <c r="AB73" s="13" t="s">
        <v>2523</v>
      </c>
      <c r="AC73" s="13" t="s">
        <v>2328</v>
      </c>
      <c r="AD73" s="13" t="s">
        <v>110</v>
      </c>
      <c r="AE73" s="12"/>
      <c r="AF73" s="12"/>
      <c r="AG73" s="12"/>
      <c r="AH73" s="12"/>
      <c r="AI73" s="12"/>
      <c r="AJ73" s="12"/>
      <c r="AK73" s="12"/>
      <c r="AL73" s="12"/>
      <c r="AM73" s="12"/>
      <c r="AN73" s="12"/>
    </row>
    <row r="74" spans="1:40" ht="20.100000000000001" customHeight="1">
      <c r="A74" s="11">
        <v>73</v>
      </c>
      <c r="B74" s="12" t="s">
        <v>38</v>
      </c>
      <c r="C74" s="12" t="s">
        <v>38</v>
      </c>
      <c r="D74" s="13" t="s">
        <v>2312</v>
      </c>
      <c r="E74" s="11"/>
      <c r="F74" s="12"/>
      <c r="G74" s="13" t="str">
        <f>"9780511462986"</f>
        <v>9780511462986</v>
      </c>
      <c r="H74" s="13" t="s">
        <v>1182</v>
      </c>
      <c r="I74" s="11" t="s">
        <v>2780</v>
      </c>
      <c r="J74" s="11"/>
      <c r="K74" s="11"/>
      <c r="L74" s="11"/>
      <c r="M74" s="13" t="s">
        <v>2177</v>
      </c>
      <c r="N74" s="12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3" t="s">
        <v>2766</v>
      </c>
      <c r="AB74" s="13">
        <v>616.07899999999995</v>
      </c>
      <c r="AC74" s="13" t="s">
        <v>2328</v>
      </c>
      <c r="AD74" s="13" t="s">
        <v>111</v>
      </c>
      <c r="AE74" s="12"/>
      <c r="AF74" s="12"/>
      <c r="AG74" s="12"/>
      <c r="AH74" s="12"/>
      <c r="AI74" s="12"/>
      <c r="AJ74" s="12"/>
      <c r="AK74" s="12"/>
      <c r="AL74" s="12"/>
      <c r="AM74" s="12"/>
      <c r="AN74" s="12"/>
    </row>
    <row r="75" spans="1:40" ht="20.100000000000001" customHeight="1">
      <c r="A75" s="11">
        <v>74</v>
      </c>
      <c r="B75" s="12" t="s">
        <v>38</v>
      </c>
      <c r="C75" s="12" t="s">
        <v>38</v>
      </c>
      <c r="D75" s="13" t="s">
        <v>2312</v>
      </c>
      <c r="E75" s="11"/>
      <c r="F75" s="12"/>
      <c r="G75" s="13" t="str">
        <f>"9780511477683"</f>
        <v>9780511477683</v>
      </c>
      <c r="H75" s="13" t="s">
        <v>1183</v>
      </c>
      <c r="I75" s="11" t="s">
        <v>2780</v>
      </c>
      <c r="J75" s="11"/>
      <c r="K75" s="11"/>
      <c r="L75" s="11"/>
      <c r="M75" s="13" t="s">
        <v>2177</v>
      </c>
      <c r="N75" s="12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3" t="s">
        <v>2766</v>
      </c>
      <c r="AB75" s="13">
        <v>617.55075699999998</v>
      </c>
      <c r="AC75" s="13" t="s">
        <v>2328</v>
      </c>
      <c r="AD75" s="13" t="s">
        <v>112</v>
      </c>
      <c r="AE75" s="12"/>
      <c r="AF75" s="12"/>
      <c r="AG75" s="12"/>
      <c r="AH75" s="12"/>
      <c r="AI75" s="12"/>
      <c r="AJ75" s="12"/>
      <c r="AK75" s="12"/>
      <c r="AL75" s="12"/>
      <c r="AM75" s="12"/>
      <c r="AN75" s="12"/>
    </row>
    <row r="76" spans="1:40" ht="20.100000000000001" customHeight="1">
      <c r="A76" s="11">
        <v>75</v>
      </c>
      <c r="B76" s="12" t="s">
        <v>38</v>
      </c>
      <c r="C76" s="12" t="s">
        <v>38</v>
      </c>
      <c r="D76" s="13" t="s">
        <v>2312</v>
      </c>
      <c r="E76" s="11"/>
      <c r="F76" s="12"/>
      <c r="G76" s="13" t="str">
        <f>"9780511477102"</f>
        <v>9780511477102</v>
      </c>
      <c r="H76" s="13" t="s">
        <v>1184</v>
      </c>
      <c r="I76" s="11" t="s">
        <v>2777</v>
      </c>
      <c r="J76" s="11"/>
      <c r="K76" s="11"/>
      <c r="L76" s="11"/>
      <c r="M76" s="13" t="s">
        <v>2177</v>
      </c>
      <c r="N76" s="12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3" t="s">
        <v>2766</v>
      </c>
      <c r="AB76" s="13">
        <v>813.40899999999999</v>
      </c>
      <c r="AC76" s="13" t="s">
        <v>2313</v>
      </c>
      <c r="AD76" s="13" t="s">
        <v>113</v>
      </c>
      <c r="AE76" s="12"/>
      <c r="AF76" s="12"/>
      <c r="AG76" s="12"/>
      <c r="AH76" s="12"/>
      <c r="AI76" s="12"/>
      <c r="AJ76" s="12"/>
      <c r="AK76" s="12"/>
      <c r="AL76" s="12"/>
      <c r="AM76" s="12"/>
      <c r="AN76" s="12"/>
    </row>
    <row r="77" spans="1:40" ht="20.100000000000001" customHeight="1">
      <c r="A77" s="11">
        <v>76</v>
      </c>
      <c r="B77" s="12" t="s">
        <v>38</v>
      </c>
      <c r="C77" s="12" t="s">
        <v>38</v>
      </c>
      <c r="D77" s="13" t="s">
        <v>2312</v>
      </c>
      <c r="E77" s="11"/>
      <c r="F77" s="12"/>
      <c r="G77" s="13" t="str">
        <f>"9780511477034"</f>
        <v>9780511477034</v>
      </c>
      <c r="H77" s="13" t="s">
        <v>1185</v>
      </c>
      <c r="I77" s="11" t="s">
        <v>2778</v>
      </c>
      <c r="J77" s="11"/>
      <c r="K77" s="11"/>
      <c r="L77" s="11"/>
      <c r="M77" s="13" t="s">
        <v>2177</v>
      </c>
      <c r="N77" s="12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3" t="s">
        <v>2766</v>
      </c>
      <c r="AB77" s="13">
        <v>580.14</v>
      </c>
      <c r="AC77" s="13" t="s">
        <v>2337</v>
      </c>
      <c r="AD77" s="13" t="s">
        <v>114</v>
      </c>
      <c r="AE77" s="12"/>
      <c r="AF77" s="12"/>
      <c r="AG77" s="12"/>
      <c r="AH77" s="12"/>
      <c r="AI77" s="12"/>
      <c r="AJ77" s="12"/>
      <c r="AK77" s="12"/>
      <c r="AL77" s="12"/>
      <c r="AM77" s="12"/>
      <c r="AN77" s="12"/>
    </row>
    <row r="78" spans="1:40" ht="20.100000000000001" customHeight="1">
      <c r="A78" s="11">
        <v>77</v>
      </c>
      <c r="B78" s="12" t="s">
        <v>38</v>
      </c>
      <c r="C78" s="12" t="s">
        <v>38</v>
      </c>
      <c r="D78" s="13" t="s">
        <v>2312</v>
      </c>
      <c r="E78" s="11"/>
      <c r="F78" s="12"/>
      <c r="G78" s="13" t="str">
        <f>"9781444304787"</f>
        <v>9781444304787</v>
      </c>
      <c r="H78" s="13" t="s">
        <v>1186</v>
      </c>
      <c r="I78" s="11" t="s">
        <v>2778</v>
      </c>
      <c r="J78" s="11"/>
      <c r="K78" s="11"/>
      <c r="L78" s="11"/>
      <c r="M78" s="13" t="s">
        <v>2176</v>
      </c>
      <c r="N78" s="12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3" t="s">
        <v>2766</v>
      </c>
      <c r="AB78" s="13"/>
      <c r="AC78" s="13" t="s">
        <v>2313</v>
      </c>
      <c r="AD78" s="13" t="s">
        <v>115</v>
      </c>
      <c r="AE78" s="12"/>
      <c r="AF78" s="12"/>
      <c r="AG78" s="12"/>
      <c r="AH78" s="12"/>
      <c r="AI78" s="12"/>
      <c r="AJ78" s="12"/>
      <c r="AK78" s="12"/>
      <c r="AL78" s="12"/>
      <c r="AM78" s="12"/>
      <c r="AN78" s="12"/>
    </row>
    <row r="79" spans="1:40" ht="20.100000000000001" customHeight="1">
      <c r="A79" s="11">
        <v>78</v>
      </c>
      <c r="B79" s="12" t="s">
        <v>38</v>
      </c>
      <c r="C79" s="12" t="s">
        <v>38</v>
      </c>
      <c r="D79" s="13" t="s">
        <v>2312</v>
      </c>
      <c r="E79" s="11"/>
      <c r="F79" s="12"/>
      <c r="G79" s="13" t="str">
        <f>"9781444303667"</f>
        <v>9781444303667</v>
      </c>
      <c r="H79" s="13" t="s">
        <v>1187</v>
      </c>
      <c r="I79" s="11" t="s">
        <v>2780</v>
      </c>
      <c r="J79" s="11"/>
      <c r="K79" s="11"/>
      <c r="L79" s="11"/>
      <c r="M79" s="13" t="s">
        <v>2176</v>
      </c>
      <c r="N79" s="12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3" t="s">
        <v>2766</v>
      </c>
      <c r="AB79" s="13">
        <v>796.01</v>
      </c>
      <c r="AC79" s="13" t="s">
        <v>2338</v>
      </c>
      <c r="AD79" s="13" t="s">
        <v>116</v>
      </c>
      <c r="AE79" s="12"/>
      <c r="AF79" s="12"/>
      <c r="AG79" s="12"/>
      <c r="AH79" s="12"/>
      <c r="AI79" s="12"/>
      <c r="AJ79" s="12"/>
      <c r="AK79" s="12"/>
      <c r="AL79" s="12"/>
      <c r="AM79" s="12"/>
      <c r="AN79" s="12"/>
    </row>
    <row r="80" spans="1:40" ht="20.100000000000001" customHeight="1">
      <c r="A80" s="11">
        <v>79</v>
      </c>
      <c r="B80" s="12" t="s">
        <v>38</v>
      </c>
      <c r="C80" s="12" t="s">
        <v>38</v>
      </c>
      <c r="D80" s="13" t="s">
        <v>2312</v>
      </c>
      <c r="E80" s="11"/>
      <c r="F80" s="12"/>
      <c r="G80" s="13" t="str">
        <f>"9781444305005"</f>
        <v>9781444305005</v>
      </c>
      <c r="H80" s="13" t="s">
        <v>1188</v>
      </c>
      <c r="I80" s="11" t="s">
        <v>2778</v>
      </c>
      <c r="J80" s="11"/>
      <c r="K80" s="11"/>
      <c r="L80" s="11"/>
      <c r="M80" s="13" t="s">
        <v>2176</v>
      </c>
      <c r="N80" s="12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3" t="s">
        <v>2766</v>
      </c>
      <c r="AB80" s="13">
        <v>300.10000000000002</v>
      </c>
      <c r="AC80" s="13" t="s">
        <v>2318</v>
      </c>
      <c r="AD80" s="13" t="s">
        <v>117</v>
      </c>
      <c r="AE80" s="12"/>
      <c r="AF80" s="12"/>
      <c r="AG80" s="12"/>
      <c r="AH80" s="12"/>
      <c r="AI80" s="12"/>
      <c r="AJ80" s="12"/>
      <c r="AK80" s="12"/>
      <c r="AL80" s="12"/>
      <c r="AM80" s="12"/>
      <c r="AN80" s="12"/>
    </row>
    <row r="81" spans="1:40" ht="20.100000000000001" customHeight="1">
      <c r="A81" s="11">
        <v>80</v>
      </c>
      <c r="B81" s="12" t="s">
        <v>38</v>
      </c>
      <c r="C81" s="12" t="s">
        <v>38</v>
      </c>
      <c r="D81" s="13" t="s">
        <v>2312</v>
      </c>
      <c r="E81" s="11"/>
      <c r="F81" s="12"/>
      <c r="G81" s="13" t="str">
        <f>"9780511504884"</f>
        <v>9780511504884</v>
      </c>
      <c r="H81" s="13" t="s">
        <v>1189</v>
      </c>
      <c r="I81" s="11" t="s">
        <v>2780</v>
      </c>
      <c r="J81" s="11"/>
      <c r="K81" s="11"/>
      <c r="L81" s="11"/>
      <c r="M81" s="13" t="s">
        <v>2177</v>
      </c>
      <c r="N81" s="12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3" t="s">
        <v>2766</v>
      </c>
      <c r="AB81" s="13">
        <v>523.79999999999995</v>
      </c>
      <c r="AC81" s="13" t="s">
        <v>2339</v>
      </c>
      <c r="AD81" s="13" t="s">
        <v>118</v>
      </c>
      <c r="AE81" s="12"/>
      <c r="AF81" s="12"/>
      <c r="AG81" s="12"/>
      <c r="AH81" s="12"/>
      <c r="AI81" s="12"/>
      <c r="AJ81" s="12"/>
      <c r="AK81" s="12"/>
      <c r="AL81" s="12"/>
      <c r="AM81" s="12"/>
      <c r="AN81" s="12"/>
    </row>
    <row r="82" spans="1:40" ht="20.100000000000001" customHeight="1">
      <c r="A82" s="11">
        <v>81</v>
      </c>
      <c r="B82" s="12" t="s">
        <v>38</v>
      </c>
      <c r="C82" s="12" t="s">
        <v>38</v>
      </c>
      <c r="D82" s="13" t="s">
        <v>2312</v>
      </c>
      <c r="E82" s="11"/>
      <c r="F82" s="12"/>
      <c r="G82" s="13" t="str">
        <f>"9780511504587"</f>
        <v>9780511504587</v>
      </c>
      <c r="H82" s="13" t="s">
        <v>1190</v>
      </c>
      <c r="I82" s="11" t="s">
        <v>2780</v>
      </c>
      <c r="J82" s="11"/>
      <c r="K82" s="11"/>
      <c r="L82" s="11"/>
      <c r="M82" s="13" t="s">
        <v>2177</v>
      </c>
      <c r="N82" s="12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3" t="s">
        <v>2766</v>
      </c>
      <c r="AB82" s="13">
        <v>302.2244</v>
      </c>
      <c r="AC82" s="13" t="s">
        <v>2340</v>
      </c>
      <c r="AD82" s="13" t="s">
        <v>119</v>
      </c>
      <c r="AE82" s="12"/>
      <c r="AF82" s="12"/>
      <c r="AG82" s="12"/>
      <c r="AH82" s="12"/>
      <c r="AI82" s="12"/>
      <c r="AJ82" s="12"/>
      <c r="AK82" s="12"/>
      <c r="AL82" s="12"/>
      <c r="AM82" s="12"/>
      <c r="AN82" s="12"/>
    </row>
    <row r="83" spans="1:40" ht="20.100000000000001" customHeight="1">
      <c r="A83" s="11">
        <v>82</v>
      </c>
      <c r="B83" s="12" t="s">
        <v>38</v>
      </c>
      <c r="C83" s="12" t="s">
        <v>38</v>
      </c>
      <c r="D83" s="13" t="s">
        <v>2312</v>
      </c>
      <c r="E83" s="11"/>
      <c r="F83" s="12"/>
      <c r="G83" s="13" t="str">
        <f>"9780511504099"</f>
        <v>9780511504099</v>
      </c>
      <c r="H83" s="13" t="s">
        <v>1191</v>
      </c>
      <c r="I83" s="11" t="s">
        <v>2777</v>
      </c>
      <c r="J83" s="11"/>
      <c r="K83" s="11"/>
      <c r="L83" s="11"/>
      <c r="M83" s="13" t="s">
        <v>2177</v>
      </c>
      <c r="N83" s="12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3" t="s">
        <v>2766</v>
      </c>
      <c r="AB83" s="13">
        <v>194</v>
      </c>
      <c r="AC83" s="13" t="s">
        <v>2325</v>
      </c>
      <c r="AD83" s="13" t="s">
        <v>120</v>
      </c>
      <c r="AE83" s="12"/>
      <c r="AF83" s="12"/>
      <c r="AG83" s="12"/>
      <c r="AH83" s="12"/>
      <c r="AI83" s="12"/>
      <c r="AJ83" s="12"/>
      <c r="AK83" s="12"/>
      <c r="AL83" s="12"/>
      <c r="AM83" s="12"/>
      <c r="AN83" s="12"/>
    </row>
    <row r="84" spans="1:40" ht="20.100000000000001" customHeight="1">
      <c r="A84" s="11">
        <v>83</v>
      </c>
      <c r="B84" s="12" t="s">
        <v>38</v>
      </c>
      <c r="C84" s="12" t="s">
        <v>38</v>
      </c>
      <c r="D84" s="13" t="s">
        <v>2312</v>
      </c>
      <c r="E84" s="11"/>
      <c r="F84" s="12"/>
      <c r="G84" s="13" t="str">
        <f>"9780511504082"</f>
        <v>9780511504082</v>
      </c>
      <c r="H84" s="13" t="s">
        <v>1192</v>
      </c>
      <c r="I84" s="11" t="s">
        <v>2777</v>
      </c>
      <c r="J84" s="11"/>
      <c r="K84" s="11"/>
      <c r="L84" s="11"/>
      <c r="M84" s="13" t="s">
        <v>2177</v>
      </c>
      <c r="N84" s="12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3" t="s">
        <v>2766</v>
      </c>
      <c r="AB84" s="13">
        <v>823.01089999999999</v>
      </c>
      <c r="AC84" s="13" t="s">
        <v>2313</v>
      </c>
      <c r="AD84" s="13" t="s">
        <v>121</v>
      </c>
      <c r="AE84" s="12"/>
      <c r="AF84" s="12"/>
      <c r="AG84" s="12"/>
      <c r="AH84" s="12"/>
      <c r="AI84" s="12"/>
      <c r="AJ84" s="12"/>
      <c r="AK84" s="12"/>
      <c r="AL84" s="12"/>
      <c r="AM84" s="12"/>
      <c r="AN84" s="12"/>
    </row>
    <row r="85" spans="1:40" ht="20.100000000000001" customHeight="1">
      <c r="A85" s="11">
        <v>84</v>
      </c>
      <c r="B85" s="12" t="s">
        <v>38</v>
      </c>
      <c r="C85" s="12" t="s">
        <v>38</v>
      </c>
      <c r="D85" s="13" t="s">
        <v>2312</v>
      </c>
      <c r="E85" s="11"/>
      <c r="F85" s="12"/>
      <c r="G85" s="13" t="str">
        <f>"9780511504044"</f>
        <v>9780511504044</v>
      </c>
      <c r="H85" s="13" t="s">
        <v>1193</v>
      </c>
      <c r="I85" s="11" t="s">
        <v>2777</v>
      </c>
      <c r="J85" s="11"/>
      <c r="K85" s="11"/>
      <c r="L85" s="11"/>
      <c r="M85" s="13" t="s">
        <v>2177</v>
      </c>
      <c r="N85" s="12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3" t="s">
        <v>2766</v>
      </c>
      <c r="AB85" s="13">
        <v>820.9</v>
      </c>
      <c r="AC85" s="13" t="s">
        <v>2313</v>
      </c>
      <c r="AD85" s="13" t="s">
        <v>122</v>
      </c>
      <c r="AE85" s="12"/>
      <c r="AF85" s="12"/>
      <c r="AG85" s="12"/>
      <c r="AH85" s="12"/>
      <c r="AI85" s="12"/>
      <c r="AJ85" s="12"/>
      <c r="AK85" s="12"/>
      <c r="AL85" s="12"/>
      <c r="AM85" s="12"/>
      <c r="AN85" s="12"/>
    </row>
    <row r="86" spans="1:40" ht="20.100000000000001" customHeight="1">
      <c r="A86" s="11">
        <v>85</v>
      </c>
      <c r="B86" s="12" t="s">
        <v>38</v>
      </c>
      <c r="C86" s="12" t="s">
        <v>38</v>
      </c>
      <c r="D86" s="13" t="s">
        <v>2312</v>
      </c>
      <c r="E86" s="11"/>
      <c r="F86" s="12"/>
      <c r="G86" s="13" t="str">
        <f>"9780470156186"</f>
        <v>9780470156186</v>
      </c>
      <c r="H86" s="13" t="s">
        <v>1194</v>
      </c>
      <c r="I86" s="11" t="s">
        <v>2778</v>
      </c>
      <c r="J86" s="11"/>
      <c r="K86" s="11"/>
      <c r="L86" s="11"/>
      <c r="M86" s="13" t="s">
        <v>2176</v>
      </c>
      <c r="N86" s="12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3" t="s">
        <v>2766</v>
      </c>
      <c r="AB86" s="13" t="s">
        <v>2524</v>
      </c>
      <c r="AC86" s="13" t="s">
        <v>2341</v>
      </c>
      <c r="AD86" s="13" t="s">
        <v>123</v>
      </c>
      <c r="AE86" s="12"/>
      <c r="AF86" s="12"/>
      <c r="AG86" s="12"/>
      <c r="AH86" s="12"/>
      <c r="AI86" s="12"/>
      <c r="AJ86" s="12"/>
      <c r="AK86" s="12"/>
      <c r="AL86" s="12"/>
      <c r="AM86" s="12"/>
      <c r="AN86" s="12"/>
    </row>
    <row r="87" spans="1:40" ht="20.100000000000001" customHeight="1">
      <c r="A87" s="11">
        <v>86</v>
      </c>
      <c r="B87" s="12" t="s">
        <v>38</v>
      </c>
      <c r="C87" s="12" t="s">
        <v>38</v>
      </c>
      <c r="D87" s="13" t="s">
        <v>2312</v>
      </c>
      <c r="E87" s="11"/>
      <c r="F87" s="12"/>
      <c r="G87" s="13" t="str">
        <f>"9780470455319"</f>
        <v>9780470455319</v>
      </c>
      <c r="H87" s="13" t="s">
        <v>1195</v>
      </c>
      <c r="I87" s="11" t="s">
        <v>2780</v>
      </c>
      <c r="J87" s="11"/>
      <c r="K87" s="11"/>
      <c r="L87" s="11"/>
      <c r="M87" s="13" t="s">
        <v>2176</v>
      </c>
      <c r="N87" s="12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3" t="s">
        <v>2766</v>
      </c>
      <c r="AB87" s="13" t="s">
        <v>2525</v>
      </c>
      <c r="AC87" s="13" t="s">
        <v>2342</v>
      </c>
      <c r="AD87" s="13" t="s">
        <v>124</v>
      </c>
      <c r="AE87" s="12"/>
      <c r="AF87" s="12"/>
      <c r="AG87" s="12"/>
      <c r="AH87" s="12"/>
      <c r="AI87" s="12"/>
      <c r="AJ87" s="12"/>
      <c r="AK87" s="12"/>
      <c r="AL87" s="12"/>
      <c r="AM87" s="12"/>
      <c r="AN87" s="12"/>
    </row>
    <row r="88" spans="1:40" ht="20.100000000000001" customHeight="1">
      <c r="A88" s="11">
        <v>87</v>
      </c>
      <c r="B88" s="12" t="s">
        <v>38</v>
      </c>
      <c r="C88" s="12" t="s">
        <v>38</v>
      </c>
      <c r="D88" s="13" t="s">
        <v>2312</v>
      </c>
      <c r="E88" s="11"/>
      <c r="F88" s="12"/>
      <c r="G88" s="13" t="str">
        <f>"9781444311488"</f>
        <v>9781444311488</v>
      </c>
      <c r="H88" s="13" t="s">
        <v>1196</v>
      </c>
      <c r="I88" s="11" t="s">
        <v>2781</v>
      </c>
      <c r="J88" s="11"/>
      <c r="K88" s="11"/>
      <c r="L88" s="11"/>
      <c r="M88" s="13" t="s">
        <v>2176</v>
      </c>
      <c r="N88" s="12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3" t="s">
        <v>2766</v>
      </c>
      <c r="AB88" s="13"/>
      <c r="AC88" s="13" t="s">
        <v>2343</v>
      </c>
      <c r="AD88" s="13" t="s">
        <v>125</v>
      </c>
      <c r="AE88" s="12"/>
      <c r="AF88" s="12"/>
      <c r="AG88" s="12"/>
      <c r="AH88" s="12"/>
      <c r="AI88" s="12"/>
      <c r="AJ88" s="12"/>
      <c r="AK88" s="12"/>
      <c r="AL88" s="12"/>
      <c r="AM88" s="12"/>
      <c r="AN88" s="12"/>
    </row>
    <row r="89" spans="1:40" ht="20.100000000000001" customHeight="1">
      <c r="A89" s="11">
        <v>88</v>
      </c>
      <c r="B89" s="12" t="s">
        <v>38</v>
      </c>
      <c r="C89" s="12" t="s">
        <v>38</v>
      </c>
      <c r="D89" s="13" t="s">
        <v>2312</v>
      </c>
      <c r="E89" s="11"/>
      <c r="F89" s="12"/>
      <c r="G89" s="13" t="str">
        <f>"9781444308426"</f>
        <v>9781444308426</v>
      </c>
      <c r="H89" s="13" t="s">
        <v>1197</v>
      </c>
      <c r="I89" s="11" t="s">
        <v>2780</v>
      </c>
      <c r="J89" s="11"/>
      <c r="K89" s="11"/>
      <c r="L89" s="11"/>
      <c r="M89" s="13" t="s">
        <v>2176</v>
      </c>
      <c r="N89" s="12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3" t="s">
        <v>2766</v>
      </c>
      <c r="AB89" s="13">
        <v>947</v>
      </c>
      <c r="AC89" s="13" t="s">
        <v>2317</v>
      </c>
      <c r="AD89" s="13" t="s">
        <v>126</v>
      </c>
      <c r="AE89" s="12"/>
      <c r="AF89" s="12"/>
      <c r="AG89" s="12"/>
      <c r="AH89" s="12"/>
      <c r="AI89" s="12"/>
      <c r="AJ89" s="12"/>
      <c r="AK89" s="12"/>
      <c r="AL89" s="12"/>
      <c r="AM89" s="12"/>
      <c r="AN89" s="12"/>
    </row>
    <row r="90" spans="1:40" ht="20.100000000000001" customHeight="1">
      <c r="A90" s="11">
        <v>89</v>
      </c>
      <c r="B90" s="12" t="s">
        <v>38</v>
      </c>
      <c r="C90" s="12" t="s">
        <v>38</v>
      </c>
      <c r="D90" s="13" t="s">
        <v>2312</v>
      </c>
      <c r="E90" s="11"/>
      <c r="F90" s="12"/>
      <c r="G90" s="13" t="str">
        <f>"9781444308532"</f>
        <v>9781444308532</v>
      </c>
      <c r="H90" s="13" t="s">
        <v>1198</v>
      </c>
      <c r="I90" s="11" t="s">
        <v>2780</v>
      </c>
      <c r="J90" s="11"/>
      <c r="K90" s="11"/>
      <c r="L90" s="11"/>
      <c r="M90" s="13" t="s">
        <v>2176</v>
      </c>
      <c r="N90" s="12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3" t="s">
        <v>2766</v>
      </c>
      <c r="AB90" s="13">
        <v>110.3</v>
      </c>
      <c r="AC90" s="13" t="s">
        <v>2325</v>
      </c>
      <c r="AD90" s="13" t="s">
        <v>127</v>
      </c>
      <c r="AE90" s="12"/>
      <c r="AF90" s="12"/>
      <c r="AG90" s="12"/>
      <c r="AH90" s="12"/>
      <c r="AI90" s="12"/>
      <c r="AJ90" s="12"/>
      <c r="AK90" s="12"/>
      <c r="AL90" s="12"/>
      <c r="AM90" s="12"/>
      <c r="AN90" s="12"/>
    </row>
    <row r="91" spans="1:40" ht="20.100000000000001" customHeight="1">
      <c r="A91" s="11">
        <v>90</v>
      </c>
      <c r="B91" s="12" t="s">
        <v>38</v>
      </c>
      <c r="C91" s="12" t="s">
        <v>38</v>
      </c>
      <c r="D91" s="13" t="s">
        <v>2312</v>
      </c>
      <c r="E91" s="11"/>
      <c r="F91" s="12"/>
      <c r="G91" s="13" t="str">
        <f>"9780511515286"</f>
        <v>9780511515286</v>
      </c>
      <c r="H91" s="13" t="s">
        <v>1199</v>
      </c>
      <c r="I91" s="11" t="s">
        <v>2780</v>
      </c>
      <c r="J91" s="11"/>
      <c r="K91" s="11"/>
      <c r="L91" s="11"/>
      <c r="M91" s="13" t="s">
        <v>2177</v>
      </c>
      <c r="N91" s="12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3" t="s">
        <v>2766</v>
      </c>
      <c r="AB91" s="13" t="s">
        <v>2526</v>
      </c>
      <c r="AC91" s="13" t="s">
        <v>2328</v>
      </c>
      <c r="AD91" s="13" t="s">
        <v>128</v>
      </c>
      <c r="AE91" s="12"/>
      <c r="AF91" s="12"/>
      <c r="AG91" s="12"/>
      <c r="AH91" s="12"/>
      <c r="AI91" s="12"/>
      <c r="AJ91" s="12"/>
      <c r="AK91" s="12"/>
      <c r="AL91" s="12"/>
      <c r="AM91" s="12"/>
      <c r="AN91" s="12"/>
    </row>
    <row r="92" spans="1:40" ht="20.100000000000001" customHeight="1">
      <c r="A92" s="11">
        <v>91</v>
      </c>
      <c r="B92" s="12" t="s">
        <v>38</v>
      </c>
      <c r="C92" s="12" t="s">
        <v>38</v>
      </c>
      <c r="D92" s="13" t="s">
        <v>2312</v>
      </c>
      <c r="E92" s="11"/>
      <c r="F92" s="12"/>
      <c r="G92" s="13" t="str">
        <f>"9780511515699"</f>
        <v>9780511515699</v>
      </c>
      <c r="H92" s="13" t="s">
        <v>1200</v>
      </c>
      <c r="I92" s="11" t="s">
        <v>2780</v>
      </c>
      <c r="J92" s="11"/>
      <c r="K92" s="11"/>
      <c r="L92" s="11"/>
      <c r="M92" s="13" t="s">
        <v>2177</v>
      </c>
      <c r="N92" s="12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3" t="s">
        <v>2766</v>
      </c>
      <c r="AB92" s="13" t="s">
        <v>2527</v>
      </c>
      <c r="AC92" s="13" t="s">
        <v>2313</v>
      </c>
      <c r="AD92" s="13" t="s">
        <v>129</v>
      </c>
      <c r="AE92" s="12"/>
      <c r="AF92" s="12"/>
      <c r="AG92" s="12"/>
      <c r="AH92" s="12"/>
      <c r="AI92" s="12"/>
      <c r="AJ92" s="12"/>
      <c r="AK92" s="12"/>
      <c r="AL92" s="12"/>
      <c r="AM92" s="12"/>
      <c r="AN92" s="12"/>
    </row>
    <row r="93" spans="1:40" ht="20.100000000000001" customHeight="1">
      <c r="A93" s="11">
        <v>92</v>
      </c>
      <c r="B93" s="12" t="s">
        <v>38</v>
      </c>
      <c r="C93" s="12" t="s">
        <v>38</v>
      </c>
      <c r="D93" s="13" t="s">
        <v>2312</v>
      </c>
      <c r="E93" s="11"/>
      <c r="F93" s="12"/>
      <c r="G93" s="13" t="str">
        <f>"9780511515712"</f>
        <v>9780511515712</v>
      </c>
      <c r="H93" s="13" t="s">
        <v>1201</v>
      </c>
      <c r="I93" s="11" t="s">
        <v>2780</v>
      </c>
      <c r="J93" s="11"/>
      <c r="K93" s="11"/>
      <c r="L93" s="11"/>
      <c r="M93" s="13" t="s">
        <v>2177</v>
      </c>
      <c r="N93" s="12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3" t="s">
        <v>2766</v>
      </c>
      <c r="AB93" s="13">
        <v>813.52</v>
      </c>
      <c r="AC93" s="13" t="s">
        <v>2313</v>
      </c>
      <c r="AD93" s="13" t="s">
        <v>130</v>
      </c>
      <c r="AE93" s="12"/>
      <c r="AF93" s="12"/>
      <c r="AG93" s="12"/>
      <c r="AH93" s="12"/>
      <c r="AI93" s="12"/>
      <c r="AJ93" s="12"/>
      <c r="AK93" s="12"/>
      <c r="AL93" s="12"/>
      <c r="AM93" s="12"/>
      <c r="AN93" s="12"/>
    </row>
    <row r="94" spans="1:40" ht="20.100000000000001" customHeight="1">
      <c r="A94" s="11">
        <v>93</v>
      </c>
      <c r="B94" s="12" t="s">
        <v>38</v>
      </c>
      <c r="C94" s="12" t="s">
        <v>38</v>
      </c>
      <c r="D94" s="13" t="s">
        <v>2312</v>
      </c>
      <c r="E94" s="11"/>
      <c r="F94" s="12"/>
      <c r="G94" s="13" t="str">
        <f>"9780511532467"</f>
        <v>9780511532467</v>
      </c>
      <c r="H94" s="13" t="s">
        <v>1202</v>
      </c>
      <c r="I94" s="11" t="s">
        <v>2780</v>
      </c>
      <c r="J94" s="11"/>
      <c r="K94" s="11"/>
      <c r="L94" s="11"/>
      <c r="M94" s="13" t="s">
        <v>2177</v>
      </c>
      <c r="N94" s="12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3" t="s">
        <v>2766</v>
      </c>
      <c r="AB94" s="13" t="s">
        <v>2528</v>
      </c>
      <c r="AC94" s="13" t="s">
        <v>2328</v>
      </c>
      <c r="AD94" s="13" t="s">
        <v>131</v>
      </c>
      <c r="AE94" s="12"/>
      <c r="AF94" s="12"/>
      <c r="AG94" s="12"/>
      <c r="AH94" s="12"/>
      <c r="AI94" s="12"/>
      <c r="AJ94" s="12"/>
      <c r="AK94" s="12"/>
      <c r="AL94" s="12"/>
      <c r="AM94" s="12"/>
      <c r="AN94" s="12"/>
    </row>
    <row r="95" spans="1:40" ht="20.100000000000001" customHeight="1">
      <c r="A95" s="11">
        <v>94</v>
      </c>
      <c r="B95" s="12" t="s">
        <v>38</v>
      </c>
      <c r="C95" s="12" t="s">
        <v>38</v>
      </c>
      <c r="D95" s="13" t="s">
        <v>2312</v>
      </c>
      <c r="E95" s="11"/>
      <c r="F95" s="12"/>
      <c r="G95" s="13" t="str">
        <f>"9780470486221"</f>
        <v>9780470486221</v>
      </c>
      <c r="H95" s="13" t="s">
        <v>1203</v>
      </c>
      <c r="I95" s="11" t="s">
        <v>2780</v>
      </c>
      <c r="J95" s="11"/>
      <c r="K95" s="11"/>
      <c r="L95" s="11"/>
      <c r="M95" s="13" t="s">
        <v>2176</v>
      </c>
      <c r="N95" s="12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3" t="s">
        <v>2766</v>
      </c>
      <c r="AB95" s="13" t="s">
        <v>2529</v>
      </c>
      <c r="AC95" s="13" t="s">
        <v>2344</v>
      </c>
      <c r="AD95" s="13" t="s">
        <v>132</v>
      </c>
      <c r="AE95" s="12"/>
      <c r="AF95" s="12"/>
      <c r="AG95" s="12"/>
      <c r="AH95" s="12"/>
      <c r="AI95" s="12"/>
      <c r="AJ95" s="12"/>
      <c r="AK95" s="12"/>
      <c r="AL95" s="12"/>
      <c r="AM95" s="12"/>
      <c r="AN95" s="12"/>
    </row>
    <row r="96" spans="1:40" ht="20.100000000000001" customHeight="1">
      <c r="A96" s="11">
        <v>95</v>
      </c>
      <c r="B96" s="12" t="s">
        <v>38</v>
      </c>
      <c r="C96" s="12" t="s">
        <v>38</v>
      </c>
      <c r="D96" s="13" t="s">
        <v>2312</v>
      </c>
      <c r="E96" s="11"/>
      <c r="F96" s="12"/>
      <c r="G96" s="13" t="str">
        <f>"9780470523391"</f>
        <v>9780470523391</v>
      </c>
      <c r="H96" s="13" t="s">
        <v>1204</v>
      </c>
      <c r="I96" s="11" t="s">
        <v>2780</v>
      </c>
      <c r="J96" s="11"/>
      <c r="K96" s="11"/>
      <c r="L96" s="11"/>
      <c r="M96" s="13" t="s">
        <v>2176</v>
      </c>
      <c r="N96" s="12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3" t="s">
        <v>2766</v>
      </c>
      <c r="AB96" s="13">
        <v>657.98</v>
      </c>
      <c r="AC96" s="13" t="s">
        <v>2314</v>
      </c>
      <c r="AD96" s="13" t="s">
        <v>133</v>
      </c>
      <c r="AE96" s="12"/>
      <c r="AF96" s="12"/>
      <c r="AG96" s="12"/>
      <c r="AH96" s="12"/>
      <c r="AI96" s="12"/>
      <c r="AJ96" s="12"/>
      <c r="AK96" s="12"/>
      <c r="AL96" s="12"/>
      <c r="AM96" s="12"/>
      <c r="AN96" s="12"/>
    </row>
    <row r="97" spans="1:40" ht="20.100000000000001" customHeight="1">
      <c r="A97" s="11">
        <v>96</v>
      </c>
      <c r="B97" s="12" t="s">
        <v>38</v>
      </c>
      <c r="C97" s="12" t="s">
        <v>38</v>
      </c>
      <c r="D97" s="13" t="s">
        <v>2312</v>
      </c>
      <c r="E97" s="11"/>
      <c r="F97" s="12"/>
      <c r="G97" s="13" t="str">
        <f>"9780826137944"</f>
        <v>9780826137944</v>
      </c>
      <c r="H97" s="13" t="s">
        <v>1205</v>
      </c>
      <c r="I97" s="11" t="s">
        <v>2780</v>
      </c>
      <c r="J97" s="11"/>
      <c r="K97" s="11"/>
      <c r="L97" s="11"/>
      <c r="M97" s="13" t="s">
        <v>2183</v>
      </c>
      <c r="N97" s="12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3" t="s">
        <v>2766</v>
      </c>
      <c r="AB97" s="13"/>
      <c r="AC97" s="13" t="s">
        <v>2333</v>
      </c>
      <c r="AD97" s="13" t="s">
        <v>134</v>
      </c>
      <c r="AE97" s="12"/>
      <c r="AF97" s="12"/>
      <c r="AG97" s="12"/>
      <c r="AH97" s="12"/>
      <c r="AI97" s="12"/>
      <c r="AJ97" s="12"/>
      <c r="AK97" s="12"/>
      <c r="AL97" s="12"/>
      <c r="AM97" s="12"/>
      <c r="AN97" s="12"/>
    </row>
    <row r="98" spans="1:40" ht="20.100000000000001" customHeight="1">
      <c r="A98" s="11">
        <v>97</v>
      </c>
      <c r="B98" s="12" t="s">
        <v>38</v>
      </c>
      <c r="C98" s="12" t="s">
        <v>38</v>
      </c>
      <c r="D98" s="13" t="s">
        <v>2312</v>
      </c>
      <c r="E98" s="11"/>
      <c r="F98" s="12"/>
      <c r="G98" s="13" t="str">
        <f>"9781444305999"</f>
        <v>9781444305999</v>
      </c>
      <c r="H98" s="13" t="s">
        <v>1206</v>
      </c>
      <c r="I98" s="11" t="s">
        <v>2778</v>
      </c>
      <c r="J98" s="11"/>
      <c r="K98" s="11"/>
      <c r="L98" s="11"/>
      <c r="M98" s="13" t="s">
        <v>2176</v>
      </c>
      <c r="N98" s="12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3" t="s">
        <v>2766</v>
      </c>
      <c r="AB98" s="13">
        <v>417.22</v>
      </c>
      <c r="AC98" s="13" t="s">
        <v>2345</v>
      </c>
      <c r="AD98" s="13" t="s">
        <v>135</v>
      </c>
      <c r="AE98" s="12"/>
      <c r="AF98" s="12"/>
      <c r="AG98" s="12"/>
      <c r="AH98" s="12"/>
      <c r="AI98" s="12"/>
      <c r="AJ98" s="12"/>
      <c r="AK98" s="12"/>
      <c r="AL98" s="12"/>
      <c r="AM98" s="12"/>
      <c r="AN98" s="12"/>
    </row>
    <row r="99" spans="1:40" ht="20.100000000000001" customHeight="1">
      <c r="A99" s="11">
        <v>98</v>
      </c>
      <c r="B99" s="12" t="s">
        <v>38</v>
      </c>
      <c r="C99" s="12" t="s">
        <v>38</v>
      </c>
      <c r="D99" s="13" t="s">
        <v>2312</v>
      </c>
      <c r="E99" s="11"/>
      <c r="F99" s="12"/>
      <c r="G99" s="13" t="str">
        <f>"9781444310610"</f>
        <v>9781444310610</v>
      </c>
      <c r="H99" s="13" t="s">
        <v>1207</v>
      </c>
      <c r="I99" s="11" t="s">
        <v>2780</v>
      </c>
      <c r="J99" s="11"/>
      <c r="K99" s="11"/>
      <c r="L99" s="11"/>
      <c r="M99" s="13" t="s">
        <v>2176</v>
      </c>
      <c r="N99" s="12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3" t="s">
        <v>2766</v>
      </c>
      <c r="AB99" s="13" t="s">
        <v>2530</v>
      </c>
      <c r="AC99" s="13" t="s">
        <v>2313</v>
      </c>
      <c r="AD99" s="13" t="s">
        <v>136</v>
      </c>
      <c r="AE99" s="12"/>
      <c r="AF99" s="12"/>
      <c r="AG99" s="12"/>
      <c r="AH99" s="12"/>
      <c r="AI99" s="12"/>
      <c r="AJ99" s="12"/>
      <c r="AK99" s="12"/>
      <c r="AL99" s="12"/>
      <c r="AM99" s="12"/>
      <c r="AN99" s="12"/>
    </row>
    <row r="100" spans="1:40" ht="20.100000000000001" customHeight="1">
      <c r="A100" s="11">
        <v>99</v>
      </c>
      <c r="B100" s="12" t="s">
        <v>38</v>
      </c>
      <c r="C100" s="12" t="s">
        <v>38</v>
      </c>
      <c r="D100" s="13" t="s">
        <v>2312</v>
      </c>
      <c r="E100" s="11"/>
      <c r="F100" s="12"/>
      <c r="G100" s="13" t="str">
        <f>"9781444306019"</f>
        <v>9781444306019</v>
      </c>
      <c r="H100" s="13" t="s">
        <v>1208</v>
      </c>
      <c r="I100" s="11" t="s">
        <v>2780</v>
      </c>
      <c r="J100" s="11"/>
      <c r="K100" s="11"/>
      <c r="L100" s="11"/>
      <c r="M100" s="13" t="s">
        <v>2176</v>
      </c>
      <c r="N100" s="12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3" t="s">
        <v>2766</v>
      </c>
      <c r="AB100" s="13" t="s">
        <v>2531</v>
      </c>
      <c r="AC100" s="13" t="s">
        <v>2346</v>
      </c>
      <c r="AD100" s="13" t="s">
        <v>137</v>
      </c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</row>
    <row r="101" spans="1:40" ht="20.100000000000001" customHeight="1">
      <c r="A101" s="11">
        <v>100</v>
      </c>
      <c r="B101" s="12" t="s">
        <v>38</v>
      </c>
      <c r="C101" s="12" t="s">
        <v>38</v>
      </c>
      <c r="D101" s="13" t="s">
        <v>2312</v>
      </c>
      <c r="E101" s="11"/>
      <c r="F101" s="12"/>
      <c r="G101" s="13" t="str">
        <f>"9780511539480"</f>
        <v>9780511539480</v>
      </c>
      <c r="H101" s="13" t="s">
        <v>1209</v>
      </c>
      <c r="I101" s="11" t="s">
        <v>2780</v>
      </c>
      <c r="J101" s="11"/>
      <c r="K101" s="11"/>
      <c r="L101" s="11"/>
      <c r="M101" s="13" t="s">
        <v>2177</v>
      </c>
      <c r="N101" s="12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3" t="s">
        <v>2766</v>
      </c>
      <c r="AB101" s="13">
        <v>616.89</v>
      </c>
      <c r="AC101" s="13" t="s">
        <v>2347</v>
      </c>
      <c r="AD101" s="13" t="s">
        <v>138</v>
      </c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</row>
    <row r="102" spans="1:40" ht="20.100000000000001" customHeight="1">
      <c r="A102" s="11">
        <v>101</v>
      </c>
      <c r="B102" s="12" t="s">
        <v>38</v>
      </c>
      <c r="C102" s="12" t="s">
        <v>38</v>
      </c>
      <c r="D102" s="13" t="s">
        <v>2312</v>
      </c>
      <c r="E102" s="11"/>
      <c r="F102" s="12"/>
      <c r="G102" s="13" t="str">
        <f>"9781849205405"</f>
        <v>9781849205405</v>
      </c>
      <c r="H102" s="13" t="s">
        <v>1210</v>
      </c>
      <c r="I102" s="11" t="s">
        <v>2778</v>
      </c>
      <c r="J102" s="11"/>
      <c r="K102" s="11"/>
      <c r="L102" s="11"/>
      <c r="M102" s="13" t="s">
        <v>2180</v>
      </c>
      <c r="N102" s="12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3" t="s">
        <v>2766</v>
      </c>
      <c r="AB102" s="13">
        <v>306.48302999999999</v>
      </c>
      <c r="AC102" s="13" t="s">
        <v>2348</v>
      </c>
      <c r="AD102" s="13" t="s">
        <v>139</v>
      </c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</row>
    <row r="103" spans="1:40" ht="20.100000000000001" customHeight="1">
      <c r="A103" s="11">
        <v>102</v>
      </c>
      <c r="B103" s="12" t="s">
        <v>38</v>
      </c>
      <c r="C103" s="12" t="s">
        <v>38</v>
      </c>
      <c r="D103" s="13" t="s">
        <v>2312</v>
      </c>
      <c r="E103" s="11"/>
      <c r="F103" s="12"/>
      <c r="G103" s="13" t="str">
        <f>"9780470563564"</f>
        <v>9780470563564</v>
      </c>
      <c r="H103" s="13" t="s">
        <v>1211</v>
      </c>
      <c r="I103" s="11" t="s">
        <v>2780</v>
      </c>
      <c r="J103" s="11"/>
      <c r="K103" s="11"/>
      <c r="L103" s="11"/>
      <c r="M103" s="13" t="s">
        <v>2176</v>
      </c>
      <c r="N103" s="12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3" t="s">
        <v>2766</v>
      </c>
      <c r="AB103" s="13">
        <v>378.12509729999999</v>
      </c>
      <c r="AC103" s="13" t="s">
        <v>2349</v>
      </c>
      <c r="AD103" s="13" t="s">
        <v>140</v>
      </c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</row>
    <row r="104" spans="1:40" ht="20.100000000000001" customHeight="1">
      <c r="A104" s="11">
        <v>103</v>
      </c>
      <c r="B104" s="12" t="s">
        <v>38</v>
      </c>
      <c r="C104" s="12" t="s">
        <v>38</v>
      </c>
      <c r="D104" s="13" t="s">
        <v>2312</v>
      </c>
      <c r="E104" s="11"/>
      <c r="F104" s="12"/>
      <c r="G104" s="13" t="str">
        <f>"9780470486962"</f>
        <v>9780470486962</v>
      </c>
      <c r="H104" s="13" t="s">
        <v>1212</v>
      </c>
      <c r="I104" s="11" t="s">
        <v>2780</v>
      </c>
      <c r="J104" s="11"/>
      <c r="K104" s="11"/>
      <c r="L104" s="11"/>
      <c r="M104" s="13" t="s">
        <v>2176</v>
      </c>
      <c r="N104" s="12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3" t="s">
        <v>2766</v>
      </c>
      <c r="AB104" s="13">
        <v>519.20000000000005</v>
      </c>
      <c r="AC104" s="13" t="s">
        <v>2322</v>
      </c>
      <c r="AD104" s="13" t="s">
        <v>141</v>
      </c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</row>
    <row r="105" spans="1:40" ht="20.100000000000001" customHeight="1">
      <c r="A105" s="11">
        <v>104</v>
      </c>
      <c r="B105" s="12" t="s">
        <v>38</v>
      </c>
      <c r="C105" s="12" t="s">
        <v>38</v>
      </c>
      <c r="D105" s="13" t="s">
        <v>2312</v>
      </c>
      <c r="E105" s="11"/>
      <c r="F105" s="12"/>
      <c r="G105" s="13" t="str">
        <f>"9780470494813"</f>
        <v>9780470494813</v>
      </c>
      <c r="H105" s="13" t="s">
        <v>1213</v>
      </c>
      <c r="I105" s="11" t="s">
        <v>2780</v>
      </c>
      <c r="J105" s="11"/>
      <c r="K105" s="11"/>
      <c r="L105" s="11"/>
      <c r="M105" s="13" t="s">
        <v>2176</v>
      </c>
      <c r="N105" s="12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3" t="s">
        <v>2766</v>
      </c>
      <c r="AB105" s="13" t="s">
        <v>2532</v>
      </c>
      <c r="AC105" s="13" t="s">
        <v>2314</v>
      </c>
      <c r="AD105" s="13" t="s">
        <v>142</v>
      </c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</row>
    <row r="106" spans="1:40" ht="20.100000000000001" customHeight="1">
      <c r="A106" s="11">
        <v>105</v>
      </c>
      <c r="B106" s="12" t="s">
        <v>38</v>
      </c>
      <c r="C106" s="12" t="s">
        <v>38</v>
      </c>
      <c r="D106" s="13" t="s">
        <v>2312</v>
      </c>
      <c r="E106" s="11"/>
      <c r="F106" s="12"/>
      <c r="G106" s="13" t="str">
        <f>"9780511593697"</f>
        <v>9780511593697</v>
      </c>
      <c r="H106" s="13" t="s">
        <v>1214</v>
      </c>
      <c r="I106" s="11" t="s">
        <v>2780</v>
      </c>
      <c r="J106" s="11"/>
      <c r="K106" s="11"/>
      <c r="L106" s="11"/>
      <c r="M106" s="13" t="s">
        <v>2177</v>
      </c>
      <c r="N106" s="12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3" t="s">
        <v>2766</v>
      </c>
      <c r="AB106" s="13">
        <v>401.90949999999998</v>
      </c>
      <c r="AC106" s="13" t="s">
        <v>2345</v>
      </c>
      <c r="AD106" s="13" t="s">
        <v>143</v>
      </c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</row>
    <row r="107" spans="1:40" ht="20.100000000000001" customHeight="1">
      <c r="A107" s="11">
        <v>106</v>
      </c>
      <c r="B107" s="12" t="s">
        <v>38</v>
      </c>
      <c r="C107" s="12" t="s">
        <v>38</v>
      </c>
      <c r="D107" s="13" t="s">
        <v>2312</v>
      </c>
      <c r="E107" s="11"/>
      <c r="F107" s="12"/>
      <c r="G107" s="13" t="str">
        <f>"9780511593239"</f>
        <v>9780511593239</v>
      </c>
      <c r="H107" s="13" t="s">
        <v>1215</v>
      </c>
      <c r="I107" s="11" t="s">
        <v>2780</v>
      </c>
      <c r="J107" s="11"/>
      <c r="K107" s="11"/>
      <c r="L107" s="11"/>
      <c r="M107" s="13" t="s">
        <v>2177</v>
      </c>
      <c r="N107" s="12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3" t="s">
        <v>2766</v>
      </c>
      <c r="AB107" s="13">
        <v>530.15</v>
      </c>
      <c r="AC107" s="13" t="s">
        <v>2324</v>
      </c>
      <c r="AD107" s="13" t="s">
        <v>144</v>
      </c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</row>
    <row r="108" spans="1:40" ht="20.100000000000001" customHeight="1">
      <c r="A108" s="11">
        <v>107</v>
      </c>
      <c r="B108" s="12" t="s">
        <v>38</v>
      </c>
      <c r="C108" s="12" t="s">
        <v>38</v>
      </c>
      <c r="D108" s="13" t="s">
        <v>2312</v>
      </c>
      <c r="E108" s="11"/>
      <c r="F108" s="12"/>
      <c r="G108" s="13" t="str">
        <f>"9780511592942"</f>
        <v>9780511592942</v>
      </c>
      <c r="H108" s="13" t="s">
        <v>1216</v>
      </c>
      <c r="I108" s="11" t="s">
        <v>2780</v>
      </c>
      <c r="J108" s="11"/>
      <c r="K108" s="11"/>
      <c r="L108" s="11"/>
      <c r="M108" s="13" t="s">
        <v>2177</v>
      </c>
      <c r="N108" s="12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3" t="s">
        <v>2766</v>
      </c>
      <c r="AB108" s="13">
        <v>155.19999999999999</v>
      </c>
      <c r="AC108" s="13" t="s">
        <v>2346</v>
      </c>
      <c r="AD108" s="13" t="s">
        <v>145</v>
      </c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</row>
    <row r="109" spans="1:40" ht="20.100000000000001" customHeight="1">
      <c r="A109" s="11">
        <v>108</v>
      </c>
      <c r="B109" s="12" t="s">
        <v>38</v>
      </c>
      <c r="C109" s="12" t="s">
        <v>38</v>
      </c>
      <c r="D109" s="13" t="s">
        <v>2312</v>
      </c>
      <c r="E109" s="11"/>
      <c r="F109" s="12"/>
      <c r="G109" s="13" t="str">
        <f>"9780470747605"</f>
        <v>9780470747605</v>
      </c>
      <c r="H109" s="13" t="s">
        <v>1217</v>
      </c>
      <c r="I109" s="11" t="s">
        <v>2780</v>
      </c>
      <c r="J109" s="11"/>
      <c r="K109" s="11"/>
      <c r="L109" s="11"/>
      <c r="M109" s="13" t="s">
        <v>2176</v>
      </c>
      <c r="N109" s="12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3" t="s">
        <v>2766</v>
      </c>
      <c r="AB109" s="13" t="s">
        <v>2533</v>
      </c>
      <c r="AC109" s="13" t="s">
        <v>2318</v>
      </c>
      <c r="AD109" s="13" t="s">
        <v>146</v>
      </c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</row>
    <row r="110" spans="1:40" ht="20.100000000000001" customHeight="1">
      <c r="A110" s="11">
        <v>109</v>
      </c>
      <c r="B110" s="12" t="s">
        <v>38</v>
      </c>
      <c r="C110" s="12" t="s">
        <v>38</v>
      </c>
      <c r="D110" s="13" t="s">
        <v>2312</v>
      </c>
      <c r="E110" s="11"/>
      <c r="F110" s="12"/>
      <c r="G110" s="13" t="str">
        <f>"9781444315790"</f>
        <v>9781444315790</v>
      </c>
      <c r="H110" s="13" t="s">
        <v>1218</v>
      </c>
      <c r="I110" s="11" t="s">
        <v>2780</v>
      </c>
      <c r="J110" s="11"/>
      <c r="K110" s="11"/>
      <c r="L110" s="11"/>
      <c r="M110" s="13" t="s">
        <v>2176</v>
      </c>
      <c r="N110" s="12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3" t="s">
        <v>2766</v>
      </c>
      <c r="AB110" s="13">
        <v>418.00709999999998</v>
      </c>
      <c r="AC110" s="13" t="s">
        <v>2345</v>
      </c>
      <c r="AD110" s="13" t="s">
        <v>147</v>
      </c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</row>
    <row r="111" spans="1:40" ht="20.100000000000001" customHeight="1">
      <c r="A111" s="11">
        <v>110</v>
      </c>
      <c r="B111" s="12" t="s">
        <v>38</v>
      </c>
      <c r="C111" s="12" t="s">
        <v>38</v>
      </c>
      <c r="D111" s="13" t="s">
        <v>2312</v>
      </c>
      <c r="E111" s="11"/>
      <c r="F111" s="12"/>
      <c r="G111" s="13" t="str">
        <f>"9781444313246"</f>
        <v>9781444313246</v>
      </c>
      <c r="H111" s="13" t="s">
        <v>1219</v>
      </c>
      <c r="I111" s="11" t="s">
        <v>2782</v>
      </c>
      <c r="J111" s="11"/>
      <c r="K111" s="11"/>
      <c r="L111" s="11"/>
      <c r="M111" s="13" t="s">
        <v>2176</v>
      </c>
      <c r="N111" s="12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3" t="s">
        <v>2766</v>
      </c>
      <c r="AB111" s="13">
        <v>363.70030000000003</v>
      </c>
      <c r="AC111" s="13" t="s">
        <v>2343</v>
      </c>
      <c r="AD111" s="13" t="s">
        <v>148</v>
      </c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</row>
    <row r="112" spans="1:40" ht="20.100000000000001" customHeight="1">
      <c r="A112" s="11">
        <v>111</v>
      </c>
      <c r="B112" s="12" t="s">
        <v>38</v>
      </c>
      <c r="C112" s="12" t="s">
        <v>38</v>
      </c>
      <c r="D112" s="13" t="s">
        <v>2312</v>
      </c>
      <c r="E112" s="11"/>
      <c r="F112" s="12"/>
      <c r="G112" s="13" t="str">
        <f>"9780470523308"</f>
        <v>9780470523308</v>
      </c>
      <c r="H112" s="13" t="s">
        <v>1220</v>
      </c>
      <c r="I112" s="11" t="s">
        <v>2780</v>
      </c>
      <c r="J112" s="11"/>
      <c r="K112" s="11"/>
      <c r="L112" s="11"/>
      <c r="M112" s="13" t="s">
        <v>2176</v>
      </c>
      <c r="N112" s="12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3" t="s">
        <v>2766</v>
      </c>
      <c r="AB112" s="13" t="s">
        <v>2534</v>
      </c>
      <c r="AC112" s="13" t="s">
        <v>2350</v>
      </c>
      <c r="AD112" s="13" t="s">
        <v>149</v>
      </c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</row>
    <row r="113" spans="1:40" ht="20.100000000000001" customHeight="1">
      <c r="A113" s="11">
        <v>112</v>
      </c>
      <c r="B113" s="12" t="s">
        <v>38</v>
      </c>
      <c r="C113" s="12" t="s">
        <v>38</v>
      </c>
      <c r="D113" s="13" t="s">
        <v>2312</v>
      </c>
      <c r="E113" s="11"/>
      <c r="F113" s="12"/>
      <c r="G113" s="13" t="str">
        <f>"9781444315110"</f>
        <v>9781444315110</v>
      </c>
      <c r="H113" s="13" t="s">
        <v>1221</v>
      </c>
      <c r="I113" s="11" t="s">
        <v>2780</v>
      </c>
      <c r="J113" s="11"/>
      <c r="K113" s="11"/>
      <c r="L113" s="11"/>
      <c r="M113" s="13" t="s">
        <v>2176</v>
      </c>
      <c r="N113" s="12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3" t="s">
        <v>2766</v>
      </c>
      <c r="AB113" s="13">
        <v>355.00972999999999</v>
      </c>
      <c r="AC113" s="13" t="s">
        <v>2351</v>
      </c>
      <c r="AD113" s="13" t="s">
        <v>150</v>
      </c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</row>
    <row r="114" spans="1:40" ht="20.100000000000001" customHeight="1">
      <c r="A114" s="11">
        <v>113</v>
      </c>
      <c r="B114" s="12" t="s">
        <v>38</v>
      </c>
      <c r="C114" s="12" t="s">
        <v>38</v>
      </c>
      <c r="D114" s="13" t="s">
        <v>2312</v>
      </c>
      <c r="E114" s="11"/>
      <c r="F114" s="12"/>
      <c r="G114" s="13" t="str">
        <f>"9780511632785"</f>
        <v>9780511632785</v>
      </c>
      <c r="H114" s="13" t="s">
        <v>1222</v>
      </c>
      <c r="I114" s="11" t="s">
        <v>2780</v>
      </c>
      <c r="J114" s="11"/>
      <c r="K114" s="11"/>
      <c r="L114" s="11"/>
      <c r="M114" s="13" t="s">
        <v>2177</v>
      </c>
      <c r="N114" s="12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3" t="s">
        <v>2766</v>
      </c>
      <c r="AB114" s="13">
        <v>150.30000000000001</v>
      </c>
      <c r="AC114" s="13" t="s">
        <v>2346</v>
      </c>
      <c r="AD114" s="13" t="s">
        <v>151</v>
      </c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</row>
    <row r="115" spans="1:40" ht="20.100000000000001" customHeight="1">
      <c r="A115" s="11">
        <v>114</v>
      </c>
      <c r="B115" s="12" t="s">
        <v>38</v>
      </c>
      <c r="C115" s="12" t="s">
        <v>38</v>
      </c>
      <c r="D115" s="13" t="s">
        <v>2312</v>
      </c>
      <c r="E115" s="11"/>
      <c r="F115" s="12"/>
      <c r="G115" s="13" t="str">
        <f>"9780511639111"</f>
        <v>9780511639111</v>
      </c>
      <c r="H115" s="13" t="s">
        <v>1223</v>
      </c>
      <c r="I115" s="11" t="s">
        <v>2780</v>
      </c>
      <c r="J115" s="11"/>
      <c r="K115" s="11"/>
      <c r="L115" s="11"/>
      <c r="M115" s="13" t="s">
        <v>2177</v>
      </c>
      <c r="N115" s="12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3" t="s">
        <v>2766</v>
      </c>
      <c r="AB115" s="13" t="s">
        <v>2535</v>
      </c>
      <c r="AC115" s="13" t="s">
        <v>2328</v>
      </c>
      <c r="AD115" s="13" t="s">
        <v>152</v>
      </c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</row>
    <row r="116" spans="1:40" ht="20.100000000000001" customHeight="1">
      <c r="A116" s="11">
        <v>115</v>
      </c>
      <c r="B116" s="12" t="s">
        <v>38</v>
      </c>
      <c r="C116" s="12" t="s">
        <v>38</v>
      </c>
      <c r="D116" s="13" t="s">
        <v>2312</v>
      </c>
      <c r="E116" s="11"/>
      <c r="F116" s="12"/>
      <c r="G116" s="13" t="str">
        <f>"9780511639296"</f>
        <v>9780511639296</v>
      </c>
      <c r="H116" s="13" t="s">
        <v>1224</v>
      </c>
      <c r="I116" s="11" t="s">
        <v>2780</v>
      </c>
      <c r="J116" s="11"/>
      <c r="K116" s="11"/>
      <c r="L116" s="11"/>
      <c r="M116" s="13" t="s">
        <v>2177</v>
      </c>
      <c r="N116" s="12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3" t="s">
        <v>2766</v>
      </c>
      <c r="AB116" s="13">
        <v>615.1</v>
      </c>
      <c r="AC116" s="13" t="s">
        <v>2352</v>
      </c>
      <c r="AD116" s="13" t="s">
        <v>153</v>
      </c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</row>
    <row r="117" spans="1:40" ht="20.100000000000001" customHeight="1">
      <c r="A117" s="11">
        <v>116</v>
      </c>
      <c r="B117" s="12" t="s">
        <v>38</v>
      </c>
      <c r="C117" s="12" t="s">
        <v>38</v>
      </c>
      <c r="D117" s="13" t="s">
        <v>2312</v>
      </c>
      <c r="E117" s="11"/>
      <c r="F117" s="12"/>
      <c r="G117" s="13" t="str">
        <f>"9780511639173"</f>
        <v>9780511639173</v>
      </c>
      <c r="H117" s="13" t="s">
        <v>1225</v>
      </c>
      <c r="I117" s="11" t="s">
        <v>2780</v>
      </c>
      <c r="J117" s="11"/>
      <c r="K117" s="11"/>
      <c r="L117" s="11"/>
      <c r="M117" s="13" t="s">
        <v>2177</v>
      </c>
      <c r="N117" s="12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3" t="s">
        <v>2766</v>
      </c>
      <c r="AB117" s="13" t="s">
        <v>2536</v>
      </c>
      <c r="AC117" s="13" t="s">
        <v>2313</v>
      </c>
      <c r="AD117" s="13" t="s">
        <v>154</v>
      </c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</row>
    <row r="118" spans="1:40" ht="20.100000000000001" customHeight="1">
      <c r="A118" s="11">
        <v>117</v>
      </c>
      <c r="B118" s="12" t="s">
        <v>38</v>
      </c>
      <c r="C118" s="12" t="s">
        <v>38</v>
      </c>
      <c r="D118" s="13" t="s">
        <v>2312</v>
      </c>
      <c r="E118" s="11"/>
      <c r="F118" s="12"/>
      <c r="G118" s="13" t="str">
        <f>"9780511639074"</f>
        <v>9780511639074</v>
      </c>
      <c r="H118" s="13" t="s">
        <v>1226</v>
      </c>
      <c r="I118" s="11" t="s">
        <v>2780</v>
      </c>
      <c r="J118" s="11"/>
      <c r="K118" s="11"/>
      <c r="L118" s="11"/>
      <c r="M118" s="13" t="s">
        <v>2177</v>
      </c>
      <c r="N118" s="12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3" t="s">
        <v>2766</v>
      </c>
      <c r="AB118" s="13" t="s">
        <v>2537</v>
      </c>
      <c r="AC118" s="13" t="s">
        <v>2353</v>
      </c>
      <c r="AD118" s="13" t="s">
        <v>155</v>
      </c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</row>
    <row r="119" spans="1:40" ht="20.100000000000001" customHeight="1">
      <c r="A119" s="11">
        <v>118</v>
      </c>
      <c r="B119" s="12" t="s">
        <v>38</v>
      </c>
      <c r="C119" s="12" t="s">
        <v>38</v>
      </c>
      <c r="D119" s="13" t="s">
        <v>2312</v>
      </c>
      <c r="E119" s="11"/>
      <c r="F119" s="12"/>
      <c r="G119" s="13" t="str">
        <f>"9781849208291"</f>
        <v>9781849208291</v>
      </c>
      <c r="H119" s="13" t="s">
        <v>1227</v>
      </c>
      <c r="I119" s="11" t="s">
        <v>2778</v>
      </c>
      <c r="J119" s="11"/>
      <c r="K119" s="11"/>
      <c r="L119" s="11"/>
      <c r="M119" s="13" t="s">
        <v>2180</v>
      </c>
      <c r="N119" s="12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3" t="s">
        <v>2766</v>
      </c>
      <c r="AB119" s="13">
        <v>307.76</v>
      </c>
      <c r="AC119" s="13" t="s">
        <v>2318</v>
      </c>
      <c r="AD119" s="13" t="s">
        <v>156</v>
      </c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</row>
    <row r="120" spans="1:40" ht="20.100000000000001" customHeight="1">
      <c r="A120" s="11">
        <v>119</v>
      </c>
      <c r="B120" s="12" t="s">
        <v>38</v>
      </c>
      <c r="C120" s="12" t="s">
        <v>38</v>
      </c>
      <c r="D120" s="13" t="s">
        <v>2312</v>
      </c>
      <c r="E120" s="11"/>
      <c r="F120" s="12"/>
      <c r="G120" s="13" t="str">
        <f>"9789047423775"</f>
        <v>9789047423775</v>
      </c>
      <c r="H120" s="13" t="s">
        <v>1228</v>
      </c>
      <c r="I120" s="11" t="s">
        <v>2783</v>
      </c>
      <c r="J120" s="11"/>
      <c r="K120" s="11"/>
      <c r="L120" s="11"/>
      <c r="M120" s="13" t="s">
        <v>2184</v>
      </c>
      <c r="N120" s="12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3" t="s">
        <v>2766</v>
      </c>
      <c r="AB120" s="13">
        <v>297.12252100000001</v>
      </c>
      <c r="AC120" s="13" t="s">
        <v>2323</v>
      </c>
      <c r="AD120" s="13" t="s">
        <v>157</v>
      </c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</row>
    <row r="121" spans="1:40" ht="20.100000000000001" customHeight="1">
      <c r="A121" s="11">
        <v>120</v>
      </c>
      <c r="B121" s="12" t="s">
        <v>38</v>
      </c>
      <c r="C121" s="12" t="s">
        <v>38</v>
      </c>
      <c r="D121" s="13" t="s">
        <v>2312</v>
      </c>
      <c r="E121" s="11"/>
      <c r="F121" s="12"/>
      <c r="G121" s="13" t="str">
        <f>"9789047420811"</f>
        <v>9789047420811</v>
      </c>
      <c r="H121" s="13" t="s">
        <v>1229</v>
      </c>
      <c r="I121" s="11" t="s">
        <v>2777</v>
      </c>
      <c r="J121" s="11"/>
      <c r="K121" s="11"/>
      <c r="L121" s="11"/>
      <c r="M121" s="13" t="s">
        <v>2184</v>
      </c>
      <c r="N121" s="12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3" t="s">
        <v>2766</v>
      </c>
      <c r="AB121" s="13"/>
      <c r="AC121" s="13" t="s">
        <v>2354</v>
      </c>
      <c r="AD121" s="13" t="s">
        <v>158</v>
      </c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</row>
    <row r="122" spans="1:40" ht="20.100000000000001" customHeight="1">
      <c r="A122" s="11">
        <v>121</v>
      </c>
      <c r="B122" s="12" t="s">
        <v>38</v>
      </c>
      <c r="C122" s="12" t="s">
        <v>38</v>
      </c>
      <c r="D122" s="13" t="s">
        <v>2312</v>
      </c>
      <c r="E122" s="11"/>
      <c r="F122" s="12"/>
      <c r="G122" s="13" t="str">
        <f>"9789047423607"</f>
        <v>9789047423607</v>
      </c>
      <c r="H122" s="13" t="s">
        <v>1230</v>
      </c>
      <c r="I122" s="11" t="s">
        <v>2777</v>
      </c>
      <c r="J122" s="11"/>
      <c r="K122" s="11"/>
      <c r="L122" s="11"/>
      <c r="M122" s="13" t="s">
        <v>2184</v>
      </c>
      <c r="N122" s="12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3" t="s">
        <v>2766</v>
      </c>
      <c r="AB122" s="13">
        <v>335.4</v>
      </c>
      <c r="AC122" s="13" t="s">
        <v>2355</v>
      </c>
      <c r="AD122" s="13" t="s">
        <v>159</v>
      </c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</row>
    <row r="123" spans="1:40" ht="20.100000000000001" customHeight="1">
      <c r="A123" s="11">
        <v>122</v>
      </c>
      <c r="B123" s="12" t="s">
        <v>38</v>
      </c>
      <c r="C123" s="12" t="s">
        <v>38</v>
      </c>
      <c r="D123" s="13" t="s">
        <v>2312</v>
      </c>
      <c r="E123" s="11"/>
      <c r="F123" s="12"/>
      <c r="G123" s="13" t="str">
        <f>"9789047410492"</f>
        <v>9789047410492</v>
      </c>
      <c r="H123" s="13" t="s">
        <v>1231</v>
      </c>
      <c r="I123" s="11" t="s">
        <v>2774</v>
      </c>
      <c r="J123" s="11"/>
      <c r="K123" s="11"/>
      <c r="L123" s="11"/>
      <c r="M123" s="13" t="s">
        <v>2184</v>
      </c>
      <c r="N123" s="12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3" t="s">
        <v>2766</v>
      </c>
      <c r="AB123" s="13">
        <v>491.99799999999999</v>
      </c>
      <c r="AC123" s="13" t="s">
        <v>2345</v>
      </c>
      <c r="AD123" s="13" t="s">
        <v>160</v>
      </c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</row>
    <row r="124" spans="1:40" ht="20.100000000000001" customHeight="1">
      <c r="A124" s="11">
        <v>123</v>
      </c>
      <c r="B124" s="12" t="s">
        <v>38</v>
      </c>
      <c r="C124" s="12" t="s">
        <v>38</v>
      </c>
      <c r="D124" s="13" t="s">
        <v>2312</v>
      </c>
      <c r="E124" s="11"/>
      <c r="F124" s="12"/>
      <c r="G124" s="13" t="str">
        <f>"9789047431756"</f>
        <v>9789047431756</v>
      </c>
      <c r="H124" s="13" t="s">
        <v>1232</v>
      </c>
      <c r="I124" s="11" t="s">
        <v>2778</v>
      </c>
      <c r="J124" s="11"/>
      <c r="K124" s="11"/>
      <c r="L124" s="11"/>
      <c r="M124" s="13" t="s">
        <v>2184</v>
      </c>
      <c r="N124" s="12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3" t="s">
        <v>2766</v>
      </c>
      <c r="AB124" s="13"/>
      <c r="AC124" s="13" t="s">
        <v>2334</v>
      </c>
      <c r="AD124" s="13" t="s">
        <v>161</v>
      </c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</row>
    <row r="125" spans="1:40" ht="20.100000000000001" customHeight="1">
      <c r="A125" s="11">
        <v>124</v>
      </c>
      <c r="B125" s="12" t="s">
        <v>38</v>
      </c>
      <c r="C125" s="12" t="s">
        <v>38</v>
      </c>
      <c r="D125" s="13" t="s">
        <v>2312</v>
      </c>
      <c r="E125" s="11"/>
      <c r="F125" s="12"/>
      <c r="G125" s="13" t="str">
        <f>"9780470605424"</f>
        <v>9780470605424</v>
      </c>
      <c r="H125" s="13" t="s">
        <v>1233</v>
      </c>
      <c r="I125" s="11" t="s">
        <v>2780</v>
      </c>
      <c r="J125" s="11"/>
      <c r="K125" s="11"/>
      <c r="L125" s="11"/>
      <c r="M125" s="13" t="s">
        <v>2176</v>
      </c>
      <c r="N125" s="12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3" t="s">
        <v>2766</v>
      </c>
      <c r="AB125" s="13" t="s">
        <v>2538</v>
      </c>
      <c r="AC125" s="13" t="s">
        <v>2349</v>
      </c>
      <c r="AD125" s="13" t="s">
        <v>162</v>
      </c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</row>
    <row r="126" spans="1:40" ht="20.100000000000001" customHeight="1">
      <c r="A126" s="11">
        <v>125</v>
      </c>
      <c r="B126" s="12" t="s">
        <v>38</v>
      </c>
      <c r="C126" s="12" t="s">
        <v>38</v>
      </c>
      <c r="D126" s="13" t="s">
        <v>2312</v>
      </c>
      <c r="E126" s="11"/>
      <c r="F126" s="12"/>
      <c r="G126" s="13" t="str">
        <f>"9780470449165"</f>
        <v>9780470449165</v>
      </c>
      <c r="H126" s="13" t="s">
        <v>1234</v>
      </c>
      <c r="I126" s="11" t="s">
        <v>2780</v>
      </c>
      <c r="J126" s="11"/>
      <c r="K126" s="11"/>
      <c r="L126" s="11"/>
      <c r="M126" s="13" t="s">
        <v>2185</v>
      </c>
      <c r="N126" s="12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3" t="s">
        <v>2766</v>
      </c>
      <c r="AB126" s="13">
        <v>152.4</v>
      </c>
      <c r="AC126" s="13" t="s">
        <v>2346</v>
      </c>
      <c r="AD126" s="13" t="s">
        <v>163</v>
      </c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</row>
    <row r="127" spans="1:40" ht="20.100000000000001" customHeight="1">
      <c r="A127" s="11">
        <v>126</v>
      </c>
      <c r="B127" s="12" t="s">
        <v>38</v>
      </c>
      <c r="C127" s="12" t="s">
        <v>38</v>
      </c>
      <c r="D127" s="13" t="s">
        <v>2312</v>
      </c>
      <c r="E127" s="11"/>
      <c r="F127" s="12"/>
      <c r="G127" s="13" t="str">
        <f>"9780470605455"</f>
        <v>9780470605455</v>
      </c>
      <c r="H127" s="13" t="s">
        <v>1235</v>
      </c>
      <c r="I127" s="11" t="s">
        <v>2780</v>
      </c>
      <c r="J127" s="11"/>
      <c r="K127" s="11"/>
      <c r="L127" s="11"/>
      <c r="M127" s="13" t="s">
        <v>2176</v>
      </c>
      <c r="N127" s="12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3" t="s">
        <v>2766</v>
      </c>
      <c r="AB127" s="13" t="s">
        <v>2539</v>
      </c>
      <c r="AC127" s="13" t="s">
        <v>2349</v>
      </c>
      <c r="AD127" s="13" t="s">
        <v>164</v>
      </c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</row>
    <row r="128" spans="1:40" ht="20.100000000000001" customHeight="1">
      <c r="A128" s="11">
        <v>127</v>
      </c>
      <c r="B128" s="12" t="s">
        <v>38</v>
      </c>
      <c r="C128" s="12" t="s">
        <v>38</v>
      </c>
      <c r="D128" s="13" t="s">
        <v>2312</v>
      </c>
      <c r="E128" s="11"/>
      <c r="F128" s="12"/>
      <c r="G128" s="13" t="str">
        <f>"9780470466889"</f>
        <v>9780470466889</v>
      </c>
      <c r="H128" s="13" t="s">
        <v>1236</v>
      </c>
      <c r="I128" s="11" t="s">
        <v>2780</v>
      </c>
      <c r="J128" s="11"/>
      <c r="K128" s="11"/>
      <c r="L128" s="11"/>
      <c r="M128" s="13" t="s">
        <v>2176</v>
      </c>
      <c r="N128" s="12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3" t="s">
        <v>2766</v>
      </c>
      <c r="AB128" s="13"/>
      <c r="AC128" s="13" t="s">
        <v>2314</v>
      </c>
      <c r="AD128" s="13" t="s">
        <v>165</v>
      </c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</row>
    <row r="129" spans="1:40" ht="20.100000000000001" customHeight="1">
      <c r="A129" s="11">
        <v>128</v>
      </c>
      <c r="B129" s="12" t="s">
        <v>38</v>
      </c>
      <c r="C129" s="12" t="s">
        <v>38</v>
      </c>
      <c r="D129" s="13" t="s">
        <v>2312</v>
      </c>
      <c r="E129" s="11"/>
      <c r="F129" s="12"/>
      <c r="G129" s="13" t="str">
        <f>"9781444309904"</f>
        <v>9781444309904</v>
      </c>
      <c r="H129" s="13" t="s">
        <v>1237</v>
      </c>
      <c r="I129" s="11" t="s">
        <v>2780</v>
      </c>
      <c r="J129" s="11"/>
      <c r="K129" s="11"/>
      <c r="L129" s="11"/>
      <c r="M129" s="13" t="s">
        <v>2176</v>
      </c>
      <c r="N129" s="12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3" t="s">
        <v>2766</v>
      </c>
      <c r="AB129" s="13">
        <v>800</v>
      </c>
      <c r="AC129" s="13" t="s">
        <v>2356</v>
      </c>
      <c r="AD129" s="13" t="s">
        <v>166</v>
      </c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</row>
    <row r="130" spans="1:40" ht="20.100000000000001" customHeight="1">
      <c r="A130" s="11">
        <v>129</v>
      </c>
      <c r="B130" s="12" t="s">
        <v>38</v>
      </c>
      <c r="C130" s="12" t="s">
        <v>38</v>
      </c>
      <c r="D130" s="13" t="s">
        <v>2312</v>
      </c>
      <c r="E130" s="11"/>
      <c r="F130" s="12"/>
      <c r="G130" s="13" t="str">
        <f>"9780470682395"</f>
        <v>9780470682395</v>
      </c>
      <c r="H130" s="13" t="s">
        <v>1238</v>
      </c>
      <c r="I130" s="11" t="s">
        <v>2783</v>
      </c>
      <c r="J130" s="11"/>
      <c r="K130" s="11"/>
      <c r="L130" s="11"/>
      <c r="M130" s="13" t="s">
        <v>2176</v>
      </c>
      <c r="N130" s="12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3" t="s">
        <v>2766</v>
      </c>
      <c r="AB130" s="13">
        <v>158.69999999999999</v>
      </c>
      <c r="AC130" s="13" t="s">
        <v>2357</v>
      </c>
      <c r="AD130" s="13" t="s">
        <v>167</v>
      </c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</row>
    <row r="131" spans="1:40" ht="20.100000000000001" customHeight="1">
      <c r="A131" s="11">
        <v>130</v>
      </c>
      <c r="B131" s="12" t="s">
        <v>38</v>
      </c>
      <c r="C131" s="12" t="s">
        <v>38</v>
      </c>
      <c r="D131" s="13" t="s">
        <v>2312</v>
      </c>
      <c r="E131" s="11"/>
      <c r="F131" s="12"/>
      <c r="G131" s="13" t="str">
        <f>"9780470695715"</f>
        <v>9780470695715</v>
      </c>
      <c r="H131" s="13" t="s">
        <v>1239</v>
      </c>
      <c r="I131" s="11" t="s">
        <v>2778</v>
      </c>
      <c r="J131" s="11"/>
      <c r="K131" s="11"/>
      <c r="L131" s="11"/>
      <c r="M131" s="13" t="s">
        <v>2176</v>
      </c>
      <c r="N131" s="12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3" t="s">
        <v>2766</v>
      </c>
      <c r="AB131" s="13" t="s">
        <v>2540</v>
      </c>
      <c r="AC131" s="13" t="s">
        <v>2313</v>
      </c>
      <c r="AD131" s="13" t="s">
        <v>168</v>
      </c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</row>
    <row r="132" spans="1:40" ht="20.100000000000001" customHeight="1">
      <c r="A132" s="11">
        <v>131</v>
      </c>
      <c r="B132" s="12" t="s">
        <v>38</v>
      </c>
      <c r="C132" s="12" t="s">
        <v>38</v>
      </c>
      <c r="D132" s="13" t="s">
        <v>2312</v>
      </c>
      <c r="E132" s="11"/>
      <c r="F132" s="12"/>
      <c r="G132" s="13" t="str">
        <f>"9780226756110"</f>
        <v>9780226756110</v>
      </c>
      <c r="H132" s="13" t="s">
        <v>1240</v>
      </c>
      <c r="I132" s="11" t="s">
        <v>2780</v>
      </c>
      <c r="J132" s="11"/>
      <c r="K132" s="11"/>
      <c r="L132" s="11"/>
      <c r="M132" s="13" t="s">
        <v>2186</v>
      </c>
      <c r="N132" s="12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3" t="s">
        <v>2766</v>
      </c>
      <c r="AB132" s="13">
        <v>305.2303</v>
      </c>
      <c r="AC132" s="13" t="s">
        <v>2318</v>
      </c>
      <c r="AD132" s="13" t="s">
        <v>169</v>
      </c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</row>
    <row r="133" spans="1:40" ht="20.100000000000001" customHeight="1">
      <c r="A133" s="11">
        <v>132</v>
      </c>
      <c r="B133" s="12" t="s">
        <v>38</v>
      </c>
      <c r="C133" s="12" t="s">
        <v>38</v>
      </c>
      <c r="D133" s="13" t="s">
        <v>2312</v>
      </c>
      <c r="E133" s="11"/>
      <c r="F133" s="12"/>
      <c r="G133" s="13" t="str">
        <f>"9780511656705"</f>
        <v>9780511656705</v>
      </c>
      <c r="H133" s="13" t="s">
        <v>1241</v>
      </c>
      <c r="I133" s="11" t="s">
        <v>2780</v>
      </c>
      <c r="J133" s="11"/>
      <c r="K133" s="11"/>
      <c r="L133" s="11"/>
      <c r="M133" s="13" t="s">
        <v>2177</v>
      </c>
      <c r="N133" s="12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3" t="s">
        <v>2766</v>
      </c>
      <c r="AB133" s="13" t="s">
        <v>2541</v>
      </c>
      <c r="AC133" s="13" t="s">
        <v>2334</v>
      </c>
      <c r="AD133" s="13" t="s">
        <v>170</v>
      </c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</row>
    <row r="134" spans="1:40" ht="20.100000000000001" customHeight="1">
      <c r="A134" s="11">
        <v>133</v>
      </c>
      <c r="B134" s="12" t="s">
        <v>38</v>
      </c>
      <c r="C134" s="12" t="s">
        <v>38</v>
      </c>
      <c r="D134" s="13" t="s">
        <v>2312</v>
      </c>
      <c r="E134" s="11"/>
      <c r="F134" s="12"/>
      <c r="G134" s="13" t="str">
        <f>"9780511656644"</f>
        <v>9780511656644</v>
      </c>
      <c r="H134" s="13" t="s">
        <v>1242</v>
      </c>
      <c r="I134" s="11" t="s">
        <v>2780</v>
      </c>
      <c r="J134" s="11"/>
      <c r="K134" s="11"/>
      <c r="L134" s="11"/>
      <c r="M134" s="13" t="s">
        <v>2177</v>
      </c>
      <c r="N134" s="12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3" t="s">
        <v>2766</v>
      </c>
      <c r="AB134" s="13" t="s">
        <v>2542</v>
      </c>
      <c r="AC134" s="13" t="s">
        <v>2358</v>
      </c>
      <c r="AD134" s="13" t="s">
        <v>171</v>
      </c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</row>
    <row r="135" spans="1:40" ht="20.100000000000001" customHeight="1">
      <c r="A135" s="11">
        <v>134</v>
      </c>
      <c r="B135" s="12" t="s">
        <v>38</v>
      </c>
      <c r="C135" s="12" t="s">
        <v>38</v>
      </c>
      <c r="D135" s="13" t="s">
        <v>2312</v>
      </c>
      <c r="E135" s="11"/>
      <c r="F135" s="12"/>
      <c r="G135" s="13" t="str">
        <f>"9780230251076"</f>
        <v>9780230251076</v>
      </c>
      <c r="H135" s="13" t="s">
        <v>1243</v>
      </c>
      <c r="I135" s="11" t="s">
        <v>2780</v>
      </c>
      <c r="J135" s="11"/>
      <c r="K135" s="11"/>
      <c r="L135" s="11"/>
      <c r="M135" s="13" t="s">
        <v>2179</v>
      </c>
      <c r="N135" s="12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3" t="s">
        <v>2766</v>
      </c>
      <c r="AB135" s="13"/>
      <c r="AC135" s="13" t="s">
        <v>2314</v>
      </c>
      <c r="AD135" s="13" t="s">
        <v>172</v>
      </c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</row>
    <row r="136" spans="1:40" ht="20.100000000000001" customHeight="1">
      <c r="A136" s="11">
        <v>135</v>
      </c>
      <c r="B136" s="12" t="s">
        <v>38</v>
      </c>
      <c r="C136" s="12" t="s">
        <v>38</v>
      </c>
      <c r="D136" s="13" t="s">
        <v>2312</v>
      </c>
      <c r="E136" s="11"/>
      <c r="F136" s="12"/>
      <c r="G136" s="13" t="str">
        <f>"9781444315097"</f>
        <v>9781444315097</v>
      </c>
      <c r="H136" s="13" t="s">
        <v>1244</v>
      </c>
      <c r="I136" s="11" t="s">
        <v>2783</v>
      </c>
      <c r="J136" s="11"/>
      <c r="K136" s="11"/>
      <c r="L136" s="11"/>
      <c r="M136" s="13" t="s">
        <v>2176</v>
      </c>
      <c r="N136" s="12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3" t="s">
        <v>2766</v>
      </c>
      <c r="AB136" s="13">
        <v>121</v>
      </c>
      <c r="AC136" s="13" t="s">
        <v>2325</v>
      </c>
      <c r="AD136" s="13" t="s">
        <v>173</v>
      </c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</row>
    <row r="137" spans="1:40" ht="20.100000000000001" customHeight="1">
      <c r="A137" s="11">
        <v>136</v>
      </c>
      <c r="B137" s="12" t="s">
        <v>38</v>
      </c>
      <c r="C137" s="12" t="s">
        <v>38</v>
      </c>
      <c r="D137" s="13" t="s">
        <v>2312</v>
      </c>
      <c r="E137" s="11"/>
      <c r="F137" s="12"/>
      <c r="G137" s="13" t="str">
        <f>"9781118808641"</f>
        <v>9781118808641</v>
      </c>
      <c r="H137" s="13" t="s">
        <v>1245</v>
      </c>
      <c r="I137" s="11" t="s">
        <v>2783</v>
      </c>
      <c r="J137" s="11"/>
      <c r="K137" s="11"/>
      <c r="L137" s="11"/>
      <c r="M137" s="13" t="s">
        <v>2176</v>
      </c>
      <c r="N137" s="12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3" t="s">
        <v>2766</v>
      </c>
      <c r="AB137" s="13">
        <v>155.19999999999999</v>
      </c>
      <c r="AC137" s="13" t="s">
        <v>2346</v>
      </c>
      <c r="AD137" s="13" t="s">
        <v>174</v>
      </c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</row>
    <row r="138" spans="1:40" ht="20.100000000000001" customHeight="1">
      <c r="A138" s="11">
        <v>137</v>
      </c>
      <c r="B138" s="12" t="s">
        <v>38</v>
      </c>
      <c r="C138" s="12" t="s">
        <v>38</v>
      </c>
      <c r="D138" s="13" t="s">
        <v>2312</v>
      </c>
      <c r="E138" s="11"/>
      <c r="F138" s="12"/>
      <c r="G138" s="13" t="str">
        <f>"9781444320169"</f>
        <v>9781444320169</v>
      </c>
      <c r="H138" s="13" t="s">
        <v>1246</v>
      </c>
      <c r="I138" s="11" t="s">
        <v>2783</v>
      </c>
      <c r="J138" s="11"/>
      <c r="K138" s="11"/>
      <c r="L138" s="11"/>
      <c r="M138" s="13" t="s">
        <v>2176</v>
      </c>
      <c r="N138" s="12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3" t="s">
        <v>2766</v>
      </c>
      <c r="AB138" s="13">
        <v>210</v>
      </c>
      <c r="AC138" s="13" t="s">
        <v>2323</v>
      </c>
      <c r="AD138" s="13" t="s">
        <v>175</v>
      </c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</row>
    <row r="139" spans="1:40" ht="20.100000000000001" customHeight="1">
      <c r="A139" s="11">
        <v>138</v>
      </c>
      <c r="B139" s="12" t="s">
        <v>38</v>
      </c>
      <c r="C139" s="12" t="s">
        <v>38</v>
      </c>
      <c r="D139" s="13" t="s">
        <v>2312</v>
      </c>
      <c r="E139" s="11"/>
      <c r="F139" s="12"/>
      <c r="G139" s="13" t="str">
        <f>"9781444317923"</f>
        <v>9781444317923</v>
      </c>
      <c r="H139" s="13" t="s">
        <v>1247</v>
      </c>
      <c r="I139" s="11" t="s">
        <v>2783</v>
      </c>
      <c r="J139" s="11"/>
      <c r="K139" s="11"/>
      <c r="L139" s="11"/>
      <c r="M139" s="13" t="s">
        <v>2176</v>
      </c>
      <c r="N139" s="12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3" t="s">
        <v>2766</v>
      </c>
      <c r="AB139" s="13"/>
      <c r="AC139" s="13" t="s">
        <v>2313</v>
      </c>
      <c r="AD139" s="13" t="s">
        <v>176</v>
      </c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</row>
    <row r="140" spans="1:40" ht="20.100000000000001" customHeight="1">
      <c r="A140" s="11">
        <v>139</v>
      </c>
      <c r="B140" s="12" t="s">
        <v>38</v>
      </c>
      <c r="C140" s="12" t="s">
        <v>38</v>
      </c>
      <c r="D140" s="13" t="s">
        <v>2312</v>
      </c>
      <c r="E140" s="11"/>
      <c r="F140" s="12"/>
      <c r="G140" s="13" t="str">
        <f>"9781444317985"</f>
        <v>9781444317985</v>
      </c>
      <c r="H140" s="13" t="s">
        <v>1248</v>
      </c>
      <c r="I140" s="11" t="s">
        <v>2783</v>
      </c>
      <c r="J140" s="11"/>
      <c r="K140" s="11"/>
      <c r="L140" s="11"/>
      <c r="M140" s="13" t="s">
        <v>2176</v>
      </c>
      <c r="N140" s="12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3" t="s">
        <v>2766</v>
      </c>
      <c r="AB140" s="13">
        <v>333.33800000000002</v>
      </c>
      <c r="AC140" s="13" t="s">
        <v>2359</v>
      </c>
      <c r="AD140" s="13" t="s">
        <v>177</v>
      </c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</row>
    <row r="141" spans="1:40" ht="20.100000000000001" customHeight="1">
      <c r="A141" s="11">
        <v>140</v>
      </c>
      <c r="B141" s="12" t="s">
        <v>38</v>
      </c>
      <c r="C141" s="12" t="s">
        <v>38</v>
      </c>
      <c r="D141" s="13" t="s">
        <v>2312</v>
      </c>
      <c r="E141" s="11"/>
      <c r="F141" s="12"/>
      <c r="G141" s="13" t="str">
        <f>"9781444318944"</f>
        <v>9781444318944</v>
      </c>
      <c r="H141" s="13" t="s">
        <v>1249</v>
      </c>
      <c r="I141" s="11" t="s">
        <v>2783</v>
      </c>
      <c r="J141" s="11"/>
      <c r="K141" s="11"/>
      <c r="L141" s="11"/>
      <c r="M141" s="13" t="s">
        <v>2176</v>
      </c>
      <c r="N141" s="12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3" t="s">
        <v>2766</v>
      </c>
      <c r="AB141" s="13"/>
      <c r="AC141" s="13" t="s">
        <v>2323</v>
      </c>
      <c r="AD141" s="13" t="s">
        <v>178</v>
      </c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</row>
    <row r="142" spans="1:40" ht="20.100000000000001" customHeight="1">
      <c r="A142" s="11">
        <v>141</v>
      </c>
      <c r="B142" s="12" t="s">
        <v>38</v>
      </c>
      <c r="C142" s="12" t="s">
        <v>38</v>
      </c>
      <c r="D142" s="13" t="s">
        <v>2312</v>
      </c>
      <c r="E142" s="11"/>
      <c r="F142" s="12"/>
      <c r="G142" s="13" t="str">
        <f>"9781444317220"</f>
        <v>9781444317220</v>
      </c>
      <c r="H142" s="13" t="s">
        <v>1250</v>
      </c>
      <c r="I142" s="11" t="s">
        <v>2783</v>
      </c>
      <c r="J142" s="11"/>
      <c r="K142" s="11"/>
      <c r="L142" s="11"/>
      <c r="M142" s="13" t="s">
        <v>2176</v>
      </c>
      <c r="N142" s="12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3" t="s">
        <v>2766</v>
      </c>
      <c r="AB142" s="13">
        <v>820.90020000000004</v>
      </c>
      <c r="AC142" s="13" t="s">
        <v>2313</v>
      </c>
      <c r="AD142" s="13" t="s">
        <v>179</v>
      </c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</row>
    <row r="143" spans="1:40" ht="20.100000000000001" customHeight="1">
      <c r="A143" s="11">
        <v>142</v>
      </c>
      <c r="B143" s="12" t="s">
        <v>38</v>
      </c>
      <c r="C143" s="12" t="s">
        <v>38</v>
      </c>
      <c r="D143" s="13" t="s">
        <v>2312</v>
      </c>
      <c r="E143" s="11"/>
      <c r="F143" s="12"/>
      <c r="G143" s="13" t="str">
        <f>"9781444310115"</f>
        <v>9781444310115</v>
      </c>
      <c r="H143" s="13" t="s">
        <v>1251</v>
      </c>
      <c r="I143" s="11" t="s">
        <v>2780</v>
      </c>
      <c r="J143" s="11"/>
      <c r="K143" s="11"/>
      <c r="L143" s="11"/>
      <c r="M143" s="13" t="s">
        <v>2176</v>
      </c>
      <c r="N143" s="12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3" t="s">
        <v>2766</v>
      </c>
      <c r="AB143" s="13">
        <v>813.50900000000001</v>
      </c>
      <c r="AC143" s="13" t="s">
        <v>2313</v>
      </c>
      <c r="AD143" s="13" t="s">
        <v>180</v>
      </c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</row>
    <row r="144" spans="1:40" ht="20.100000000000001" customHeight="1">
      <c r="A144" s="11">
        <v>143</v>
      </c>
      <c r="B144" s="12" t="s">
        <v>38</v>
      </c>
      <c r="C144" s="12" t="s">
        <v>38</v>
      </c>
      <c r="D144" s="13" t="s">
        <v>2312</v>
      </c>
      <c r="E144" s="11"/>
      <c r="F144" s="12"/>
      <c r="G144" s="13" t="str">
        <f>"9780857023124"</f>
        <v>9780857023124</v>
      </c>
      <c r="H144" s="13" t="s">
        <v>1252</v>
      </c>
      <c r="I144" s="11" t="s">
        <v>2778</v>
      </c>
      <c r="J144" s="11"/>
      <c r="K144" s="11"/>
      <c r="L144" s="11"/>
      <c r="M144" s="13" t="s">
        <v>2180</v>
      </c>
      <c r="N144" s="12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3" t="s">
        <v>2766</v>
      </c>
      <c r="AB144" s="13">
        <v>363.7</v>
      </c>
      <c r="AC144" s="13" t="s">
        <v>2343</v>
      </c>
      <c r="AD144" s="13" t="s">
        <v>181</v>
      </c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</row>
    <row r="145" spans="1:40" ht="20.100000000000001" customHeight="1">
      <c r="A145" s="11">
        <v>144</v>
      </c>
      <c r="B145" s="12" t="s">
        <v>38</v>
      </c>
      <c r="C145" s="12" t="s">
        <v>38</v>
      </c>
      <c r="D145" s="13" t="s">
        <v>2312</v>
      </c>
      <c r="E145" s="11"/>
      <c r="F145" s="12"/>
      <c r="G145" s="13" t="str">
        <f>"9781615353637"</f>
        <v>9781615353637</v>
      </c>
      <c r="H145" s="13" t="s">
        <v>1253</v>
      </c>
      <c r="I145" s="11" t="s">
        <v>2783</v>
      </c>
      <c r="J145" s="11"/>
      <c r="K145" s="11"/>
      <c r="L145" s="11"/>
      <c r="M145" s="13" t="s">
        <v>2182</v>
      </c>
      <c r="N145" s="12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3" t="s">
        <v>2766</v>
      </c>
      <c r="AB145" s="13">
        <v>32</v>
      </c>
      <c r="AC145" s="13" t="s">
        <v>2360</v>
      </c>
      <c r="AD145" s="13" t="s">
        <v>182</v>
      </c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</row>
    <row r="146" spans="1:40" ht="20.100000000000001" customHeight="1">
      <c r="A146" s="11">
        <v>145</v>
      </c>
      <c r="B146" s="12" t="s">
        <v>38</v>
      </c>
      <c r="C146" s="12" t="s">
        <v>38</v>
      </c>
      <c r="D146" s="13" t="s">
        <v>2312</v>
      </c>
      <c r="E146" s="11"/>
      <c r="F146" s="12"/>
      <c r="G146" s="13" t="str">
        <f>"9780230274686"</f>
        <v>9780230274686</v>
      </c>
      <c r="H146" s="13" t="s">
        <v>1254</v>
      </c>
      <c r="I146" s="11" t="s">
        <v>2780</v>
      </c>
      <c r="J146" s="11"/>
      <c r="K146" s="11"/>
      <c r="L146" s="11"/>
      <c r="M146" s="13" t="s">
        <v>2179</v>
      </c>
      <c r="N146" s="12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3" t="s">
        <v>2766</v>
      </c>
      <c r="AB146" s="13">
        <v>305.23</v>
      </c>
      <c r="AC146" s="13" t="s">
        <v>2318</v>
      </c>
      <c r="AD146" s="13" t="s">
        <v>183</v>
      </c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</row>
    <row r="147" spans="1:40" ht="20.100000000000001" customHeight="1">
      <c r="A147" s="11">
        <v>146</v>
      </c>
      <c r="B147" s="12" t="s">
        <v>38</v>
      </c>
      <c r="C147" s="12" t="s">
        <v>38</v>
      </c>
      <c r="D147" s="13" t="s">
        <v>2312</v>
      </c>
      <c r="E147" s="11"/>
      <c r="F147" s="12"/>
      <c r="G147" s="13" t="str">
        <f>"9781444319194"</f>
        <v>9781444319194</v>
      </c>
      <c r="H147" s="13" t="s">
        <v>1255</v>
      </c>
      <c r="I147" s="11" t="s">
        <v>2783</v>
      </c>
      <c r="J147" s="11"/>
      <c r="K147" s="11"/>
      <c r="L147" s="11"/>
      <c r="M147" s="13" t="s">
        <v>2176</v>
      </c>
      <c r="N147" s="12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3" t="s">
        <v>2766</v>
      </c>
      <c r="AB147" s="13" t="s">
        <v>2530</v>
      </c>
      <c r="AC147" s="13" t="s">
        <v>2361</v>
      </c>
      <c r="AD147" s="13" t="s">
        <v>184</v>
      </c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</row>
    <row r="148" spans="1:40" ht="20.100000000000001" customHeight="1">
      <c r="A148" s="11">
        <v>147</v>
      </c>
      <c r="B148" s="12" t="s">
        <v>38</v>
      </c>
      <c r="C148" s="12" t="s">
        <v>38</v>
      </c>
      <c r="D148" s="13" t="s">
        <v>2312</v>
      </c>
      <c r="E148" s="11"/>
      <c r="F148" s="12"/>
      <c r="G148" s="13" t="str">
        <f>"9781444320022"</f>
        <v>9781444320022</v>
      </c>
      <c r="H148" s="13" t="s">
        <v>1256</v>
      </c>
      <c r="I148" s="11" t="s">
        <v>2783</v>
      </c>
      <c r="J148" s="11"/>
      <c r="K148" s="11"/>
      <c r="L148" s="11"/>
      <c r="M148" s="13" t="s">
        <v>2176</v>
      </c>
      <c r="N148" s="12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3" t="s">
        <v>2766</v>
      </c>
      <c r="AB148" s="13" t="s">
        <v>2543</v>
      </c>
      <c r="AC148" s="13" t="s">
        <v>2317</v>
      </c>
      <c r="AD148" s="13" t="s">
        <v>185</v>
      </c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</row>
    <row r="149" spans="1:40" ht="20.100000000000001" customHeight="1">
      <c r="A149" s="11">
        <v>148</v>
      </c>
      <c r="B149" s="12" t="s">
        <v>38</v>
      </c>
      <c r="C149" s="12" t="s">
        <v>38</v>
      </c>
      <c r="D149" s="13" t="s">
        <v>2312</v>
      </c>
      <c r="E149" s="11"/>
      <c r="F149" s="12"/>
      <c r="G149" s="13" t="str">
        <f>"9780470639573"</f>
        <v>9780470639573</v>
      </c>
      <c r="H149" s="13" t="s">
        <v>1257</v>
      </c>
      <c r="I149" s="11" t="s">
        <v>2780</v>
      </c>
      <c r="J149" s="11"/>
      <c r="K149" s="11"/>
      <c r="L149" s="11"/>
      <c r="M149" s="13" t="s">
        <v>2176</v>
      </c>
      <c r="N149" s="12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3" t="s">
        <v>2766</v>
      </c>
      <c r="AB149" s="13" t="s">
        <v>2544</v>
      </c>
      <c r="AC149" s="13" t="s">
        <v>2349</v>
      </c>
      <c r="AD149" s="13" t="s">
        <v>186</v>
      </c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</row>
    <row r="150" spans="1:40" ht="20.100000000000001" customHeight="1">
      <c r="A150" s="11">
        <v>149</v>
      </c>
      <c r="B150" s="12" t="s">
        <v>38</v>
      </c>
      <c r="C150" s="12" t="s">
        <v>38</v>
      </c>
      <c r="D150" s="13" t="s">
        <v>2312</v>
      </c>
      <c r="E150" s="11"/>
      <c r="F150" s="12"/>
      <c r="G150" s="13" t="str">
        <f>"9781444319927"</f>
        <v>9781444319927</v>
      </c>
      <c r="H150" s="13" t="s">
        <v>1258</v>
      </c>
      <c r="I150" s="11" t="s">
        <v>2783</v>
      </c>
      <c r="J150" s="11"/>
      <c r="K150" s="11"/>
      <c r="L150" s="11"/>
      <c r="M150" s="13" t="s">
        <v>2176</v>
      </c>
      <c r="N150" s="12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3" t="s">
        <v>2766</v>
      </c>
      <c r="AB150" s="13" t="s">
        <v>2545</v>
      </c>
      <c r="AC150" s="13" t="s">
        <v>2313</v>
      </c>
      <c r="AD150" s="13" t="s">
        <v>187</v>
      </c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</row>
    <row r="151" spans="1:40" ht="20.100000000000001" customHeight="1">
      <c r="A151" s="11">
        <v>150</v>
      </c>
      <c r="B151" s="12" t="s">
        <v>38</v>
      </c>
      <c r="C151" s="12" t="s">
        <v>38</v>
      </c>
      <c r="D151" s="13" t="s">
        <v>2312</v>
      </c>
      <c r="E151" s="11"/>
      <c r="F151" s="12"/>
      <c r="G151" s="13" t="str">
        <f>"9781444319026"</f>
        <v>9781444319026</v>
      </c>
      <c r="H151" s="13" t="s">
        <v>1259</v>
      </c>
      <c r="I151" s="11" t="s">
        <v>2783</v>
      </c>
      <c r="J151" s="11"/>
      <c r="K151" s="11"/>
      <c r="L151" s="11"/>
      <c r="M151" s="13" t="s">
        <v>2176</v>
      </c>
      <c r="N151" s="12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3" t="s">
        <v>2766</v>
      </c>
      <c r="AB151" s="13">
        <v>820.90030000000002</v>
      </c>
      <c r="AC151" s="13" t="s">
        <v>2313</v>
      </c>
      <c r="AD151" s="13" t="s">
        <v>188</v>
      </c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</row>
    <row r="152" spans="1:40" ht="20.100000000000001" customHeight="1">
      <c r="A152" s="11">
        <v>151</v>
      </c>
      <c r="B152" s="12" t="s">
        <v>38</v>
      </c>
      <c r="C152" s="12" t="s">
        <v>38</v>
      </c>
      <c r="D152" s="13" t="s">
        <v>2312</v>
      </c>
      <c r="E152" s="11"/>
      <c r="F152" s="12"/>
      <c r="G152" s="13" t="str">
        <f>"9781444320633"</f>
        <v>9781444320633</v>
      </c>
      <c r="H152" s="13" t="s">
        <v>1260</v>
      </c>
      <c r="I152" s="11" t="s">
        <v>2783</v>
      </c>
      <c r="J152" s="11"/>
      <c r="K152" s="11"/>
      <c r="L152" s="11"/>
      <c r="M152" s="13" t="s">
        <v>2176</v>
      </c>
      <c r="N152" s="12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3" t="s">
        <v>2766</v>
      </c>
      <c r="AB152" s="13">
        <v>810.9</v>
      </c>
      <c r="AC152" s="13" t="s">
        <v>2313</v>
      </c>
      <c r="AD152" s="13" t="s">
        <v>189</v>
      </c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</row>
    <row r="153" spans="1:40" ht="20.100000000000001" customHeight="1">
      <c r="A153" s="11">
        <v>152</v>
      </c>
      <c r="B153" s="12" t="s">
        <v>38</v>
      </c>
      <c r="C153" s="12" t="s">
        <v>38</v>
      </c>
      <c r="D153" s="13" t="s">
        <v>2312</v>
      </c>
      <c r="E153" s="11"/>
      <c r="F153" s="12"/>
      <c r="G153" s="13" t="str">
        <f>"9781444319088"</f>
        <v>9781444319088</v>
      </c>
      <c r="H153" s="13" t="s">
        <v>1261</v>
      </c>
      <c r="I153" s="11" t="s">
        <v>2783</v>
      </c>
      <c r="J153" s="11"/>
      <c r="K153" s="11"/>
      <c r="L153" s="11"/>
      <c r="M153" s="13" t="s">
        <v>2176</v>
      </c>
      <c r="N153" s="12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3" t="s">
        <v>2766</v>
      </c>
      <c r="AB153" s="13">
        <v>973</v>
      </c>
      <c r="AC153" s="13" t="s">
        <v>2317</v>
      </c>
      <c r="AD153" s="13" t="s">
        <v>190</v>
      </c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</row>
    <row r="154" spans="1:40" ht="20.100000000000001" customHeight="1">
      <c r="A154" s="11">
        <v>153</v>
      </c>
      <c r="B154" s="12" t="s">
        <v>38</v>
      </c>
      <c r="C154" s="12" t="s">
        <v>38</v>
      </c>
      <c r="D154" s="13" t="s">
        <v>2312</v>
      </c>
      <c r="E154" s="11"/>
      <c r="F154" s="12"/>
      <c r="G154" s="13" t="str">
        <f>"9781615353408"</f>
        <v>9781615353408</v>
      </c>
      <c r="H154" s="13" t="s">
        <v>1262</v>
      </c>
      <c r="I154" s="11" t="s">
        <v>2783</v>
      </c>
      <c r="J154" s="11"/>
      <c r="K154" s="11"/>
      <c r="L154" s="11"/>
      <c r="M154" s="13" t="s">
        <v>2182</v>
      </c>
      <c r="N154" s="12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3" t="s">
        <v>2766</v>
      </c>
      <c r="AB154" s="13">
        <v>577</v>
      </c>
      <c r="AC154" s="13" t="s">
        <v>2362</v>
      </c>
      <c r="AD154" s="13" t="s">
        <v>191</v>
      </c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</row>
    <row r="155" spans="1:40" ht="20.100000000000001" customHeight="1">
      <c r="A155" s="11">
        <v>154</v>
      </c>
      <c r="B155" s="12" t="s">
        <v>38</v>
      </c>
      <c r="C155" s="12" t="s">
        <v>38</v>
      </c>
      <c r="D155" s="13" t="s">
        <v>2312</v>
      </c>
      <c r="E155" s="11"/>
      <c r="F155" s="12"/>
      <c r="G155" s="13" t="str">
        <f>"9781615353422"</f>
        <v>9781615353422</v>
      </c>
      <c r="H155" s="13" t="s">
        <v>1263</v>
      </c>
      <c r="I155" s="11" t="s">
        <v>2783</v>
      </c>
      <c r="J155" s="11"/>
      <c r="K155" s="11"/>
      <c r="L155" s="11"/>
      <c r="M155" s="13" t="s">
        <v>2182</v>
      </c>
      <c r="N155" s="12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3" t="s">
        <v>2766</v>
      </c>
      <c r="AB155" s="13">
        <v>333</v>
      </c>
      <c r="AC155" s="13" t="s">
        <v>2363</v>
      </c>
      <c r="AD155" s="13" t="s">
        <v>192</v>
      </c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</row>
    <row r="156" spans="1:40" ht="20.100000000000001" customHeight="1">
      <c r="A156" s="11">
        <v>155</v>
      </c>
      <c r="B156" s="12" t="s">
        <v>38</v>
      </c>
      <c r="C156" s="12" t="s">
        <v>38</v>
      </c>
      <c r="D156" s="13" t="s">
        <v>2312</v>
      </c>
      <c r="E156" s="11"/>
      <c r="F156" s="12"/>
      <c r="G156" s="13" t="str">
        <f>"9780470599723"</f>
        <v>9780470599723</v>
      </c>
      <c r="H156" s="13" t="s">
        <v>1264</v>
      </c>
      <c r="I156" s="11" t="s">
        <v>2783</v>
      </c>
      <c r="J156" s="11"/>
      <c r="K156" s="11"/>
      <c r="L156" s="11"/>
      <c r="M156" s="13" t="s">
        <v>2176</v>
      </c>
      <c r="N156" s="12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3" t="s">
        <v>2766</v>
      </c>
      <c r="AB156" s="13" t="s">
        <v>2546</v>
      </c>
      <c r="AC156" s="13" t="s">
        <v>2349</v>
      </c>
      <c r="AD156" s="13" t="s">
        <v>193</v>
      </c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</row>
    <row r="157" spans="1:40" ht="20.100000000000001" customHeight="1">
      <c r="A157" s="11">
        <v>156</v>
      </c>
      <c r="B157" s="12" t="s">
        <v>38</v>
      </c>
      <c r="C157" s="12" t="s">
        <v>38</v>
      </c>
      <c r="D157" s="13" t="s">
        <v>2312</v>
      </c>
      <c r="E157" s="11"/>
      <c r="F157" s="12"/>
      <c r="G157" s="13" t="str">
        <f>"9780470582565"</f>
        <v>9780470582565</v>
      </c>
      <c r="H157" s="13" t="s">
        <v>1265</v>
      </c>
      <c r="I157" s="11" t="s">
        <v>2783</v>
      </c>
      <c r="J157" s="11"/>
      <c r="K157" s="11"/>
      <c r="L157" s="11"/>
      <c r="M157" s="13" t="s">
        <v>2176</v>
      </c>
      <c r="N157" s="12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3" t="s">
        <v>2766</v>
      </c>
      <c r="AB157" s="13">
        <v>301</v>
      </c>
      <c r="AC157" s="13" t="s">
        <v>2318</v>
      </c>
      <c r="AD157" s="13" t="s">
        <v>194</v>
      </c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</row>
    <row r="158" spans="1:40" ht="20.100000000000001" customHeight="1">
      <c r="A158" s="11">
        <v>157</v>
      </c>
      <c r="B158" s="12" t="s">
        <v>38</v>
      </c>
      <c r="C158" s="12" t="s">
        <v>38</v>
      </c>
      <c r="D158" s="13" t="s">
        <v>2312</v>
      </c>
      <c r="E158" s="11"/>
      <c r="F158" s="12"/>
      <c r="G158" s="13" t="str">
        <f>"9781444323559"</f>
        <v>9781444323559</v>
      </c>
      <c r="H158" s="13" t="s">
        <v>1266</v>
      </c>
      <c r="I158" s="11" t="s">
        <v>2783</v>
      </c>
      <c r="J158" s="11"/>
      <c r="K158" s="11"/>
      <c r="L158" s="11"/>
      <c r="M158" s="13" t="s">
        <v>2176</v>
      </c>
      <c r="N158" s="12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3" t="s">
        <v>2766</v>
      </c>
      <c r="AB158" s="13" t="s">
        <v>2547</v>
      </c>
      <c r="AC158" s="13" t="s">
        <v>2346</v>
      </c>
      <c r="AD158" s="13" t="s">
        <v>195</v>
      </c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</row>
    <row r="159" spans="1:40" ht="20.100000000000001" customHeight="1">
      <c r="A159" s="11">
        <v>158</v>
      </c>
      <c r="B159" s="12" t="s">
        <v>38</v>
      </c>
      <c r="C159" s="12" t="s">
        <v>38</v>
      </c>
      <c r="D159" s="13" t="s">
        <v>2312</v>
      </c>
      <c r="E159" s="11"/>
      <c r="F159" s="12"/>
      <c r="G159" s="13" t="str">
        <f>"9781444323535"</f>
        <v>9781444323535</v>
      </c>
      <c r="H159" s="13" t="s">
        <v>1267</v>
      </c>
      <c r="I159" s="11" t="s">
        <v>2783</v>
      </c>
      <c r="J159" s="11"/>
      <c r="K159" s="11"/>
      <c r="L159" s="11"/>
      <c r="M159" s="13" t="s">
        <v>2176</v>
      </c>
      <c r="N159" s="12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3" t="s">
        <v>2766</v>
      </c>
      <c r="AB159" s="13"/>
      <c r="AC159" s="13" t="s">
        <v>2325</v>
      </c>
      <c r="AD159" s="13" t="s">
        <v>196</v>
      </c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</row>
    <row r="160" spans="1:40" ht="20.100000000000001" customHeight="1">
      <c r="A160" s="11">
        <v>159</v>
      </c>
      <c r="B160" s="12" t="s">
        <v>38</v>
      </c>
      <c r="C160" s="12" t="s">
        <v>38</v>
      </c>
      <c r="D160" s="13" t="s">
        <v>2312</v>
      </c>
      <c r="E160" s="11"/>
      <c r="F160" s="12"/>
      <c r="G160" s="13" t="str">
        <f>"9781444320794"</f>
        <v>9781444320794</v>
      </c>
      <c r="H160" s="13" t="s">
        <v>1268</v>
      </c>
      <c r="I160" s="11" t="s">
        <v>2783</v>
      </c>
      <c r="J160" s="11"/>
      <c r="K160" s="11"/>
      <c r="L160" s="11"/>
      <c r="M160" s="13" t="s">
        <v>2176</v>
      </c>
      <c r="N160" s="12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3" t="s">
        <v>2766</v>
      </c>
      <c r="AB160" s="13">
        <v>306.60000000000002</v>
      </c>
      <c r="AC160" s="13" t="s">
        <v>2364</v>
      </c>
      <c r="AD160" s="13" t="s">
        <v>197</v>
      </c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</row>
    <row r="161" spans="1:40" ht="20.100000000000001" customHeight="1">
      <c r="A161" s="11">
        <v>160</v>
      </c>
      <c r="B161" s="12" t="s">
        <v>38</v>
      </c>
      <c r="C161" s="12" t="s">
        <v>38</v>
      </c>
      <c r="D161" s="13" t="s">
        <v>2312</v>
      </c>
      <c r="E161" s="11"/>
      <c r="F161" s="12"/>
      <c r="G161" s="13" t="str">
        <f>"9780511681967"</f>
        <v>9780511681967</v>
      </c>
      <c r="H161" s="13" t="s">
        <v>1269</v>
      </c>
      <c r="I161" s="11" t="s">
        <v>2783</v>
      </c>
      <c r="J161" s="11"/>
      <c r="K161" s="11"/>
      <c r="L161" s="11"/>
      <c r="M161" s="13" t="s">
        <v>2177</v>
      </c>
      <c r="N161" s="12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3" t="s">
        <v>2766</v>
      </c>
      <c r="AB161" s="13">
        <v>618.3261</v>
      </c>
      <c r="AC161" s="13" t="s">
        <v>2328</v>
      </c>
      <c r="AD161" s="13" t="s">
        <v>198</v>
      </c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</row>
    <row r="162" spans="1:40" ht="20.100000000000001" customHeight="1">
      <c r="A162" s="11">
        <v>161</v>
      </c>
      <c r="B162" s="12" t="s">
        <v>38</v>
      </c>
      <c r="C162" s="12" t="s">
        <v>38</v>
      </c>
      <c r="D162" s="13" t="s">
        <v>2312</v>
      </c>
      <c r="E162" s="11"/>
      <c r="F162" s="12"/>
      <c r="G162" s="13" t="str">
        <f>"9780511714887"</f>
        <v>9780511714887</v>
      </c>
      <c r="H162" s="13" t="s">
        <v>1270</v>
      </c>
      <c r="I162" s="11" t="s">
        <v>2783</v>
      </c>
      <c r="J162" s="11"/>
      <c r="K162" s="11"/>
      <c r="L162" s="11"/>
      <c r="M162" s="13" t="s">
        <v>2177</v>
      </c>
      <c r="N162" s="12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3" t="s">
        <v>2766</v>
      </c>
      <c r="AB162" s="13">
        <v>362.10680000000002</v>
      </c>
      <c r="AC162" s="13" t="s">
        <v>2365</v>
      </c>
      <c r="AD162" s="13" t="s">
        <v>199</v>
      </c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</row>
    <row r="163" spans="1:40" ht="20.100000000000001" customHeight="1">
      <c r="A163" s="11">
        <v>162</v>
      </c>
      <c r="B163" s="12" t="s">
        <v>38</v>
      </c>
      <c r="C163" s="12" t="s">
        <v>38</v>
      </c>
      <c r="D163" s="13" t="s">
        <v>2312</v>
      </c>
      <c r="E163" s="11"/>
      <c r="F163" s="12"/>
      <c r="G163" s="13" t="str">
        <f>"9780511692628"</f>
        <v>9780511692628</v>
      </c>
      <c r="H163" s="13" t="s">
        <v>1271</v>
      </c>
      <c r="I163" s="11" t="s">
        <v>2780</v>
      </c>
      <c r="J163" s="11"/>
      <c r="K163" s="11"/>
      <c r="L163" s="11"/>
      <c r="M163" s="13" t="s">
        <v>2177</v>
      </c>
      <c r="N163" s="12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3" t="s">
        <v>2766</v>
      </c>
      <c r="AB163" s="13">
        <v>346.73</v>
      </c>
      <c r="AC163" s="13" t="s">
        <v>2334</v>
      </c>
      <c r="AD163" s="13" t="s">
        <v>200</v>
      </c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</row>
    <row r="164" spans="1:40" ht="20.100000000000001" customHeight="1">
      <c r="A164" s="11">
        <v>163</v>
      </c>
      <c r="B164" s="12" t="s">
        <v>38</v>
      </c>
      <c r="C164" s="12" t="s">
        <v>38</v>
      </c>
      <c r="D164" s="13" t="s">
        <v>2312</v>
      </c>
      <c r="E164" s="11"/>
      <c r="F164" s="12"/>
      <c r="G164" s="13" t="str">
        <f>"9780511681134"</f>
        <v>9780511681134</v>
      </c>
      <c r="H164" s="13" t="s">
        <v>1272</v>
      </c>
      <c r="I164" s="11" t="s">
        <v>2783</v>
      </c>
      <c r="J164" s="11"/>
      <c r="K164" s="11"/>
      <c r="L164" s="11"/>
      <c r="M164" s="13" t="s">
        <v>2177</v>
      </c>
      <c r="N164" s="12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3" t="s">
        <v>2766</v>
      </c>
      <c r="AB164" s="13">
        <v>170.92</v>
      </c>
      <c r="AC164" s="13" t="s">
        <v>2325</v>
      </c>
      <c r="AD164" s="13" t="s">
        <v>201</v>
      </c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</row>
    <row r="165" spans="1:40" ht="20.100000000000001" customHeight="1">
      <c r="A165" s="11">
        <v>164</v>
      </c>
      <c r="B165" s="12" t="s">
        <v>38</v>
      </c>
      <c r="C165" s="12" t="s">
        <v>38</v>
      </c>
      <c r="D165" s="13" t="s">
        <v>2312</v>
      </c>
      <c r="E165" s="11"/>
      <c r="F165" s="12"/>
      <c r="G165" s="13" t="str">
        <f>"9780786455591"</f>
        <v>9780786455591</v>
      </c>
      <c r="H165" s="13" t="s">
        <v>1273</v>
      </c>
      <c r="I165" s="11" t="s">
        <v>2783</v>
      </c>
      <c r="J165" s="11"/>
      <c r="K165" s="11"/>
      <c r="L165" s="11"/>
      <c r="M165" s="13" t="s">
        <v>2187</v>
      </c>
      <c r="N165" s="12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3" t="s">
        <v>2766</v>
      </c>
      <c r="AB165" s="13" t="s">
        <v>2548</v>
      </c>
      <c r="AC165" s="13" t="s">
        <v>2313</v>
      </c>
      <c r="AD165" s="13" t="s">
        <v>202</v>
      </c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</row>
    <row r="166" spans="1:40" ht="20.100000000000001" customHeight="1">
      <c r="A166" s="11">
        <v>165</v>
      </c>
      <c r="B166" s="12" t="s">
        <v>38</v>
      </c>
      <c r="C166" s="12" t="s">
        <v>38</v>
      </c>
      <c r="D166" s="13" t="s">
        <v>2312</v>
      </c>
      <c r="E166" s="11"/>
      <c r="F166" s="12"/>
      <c r="G166" s="13" t="str">
        <f>"9780786456758"</f>
        <v>9780786456758</v>
      </c>
      <c r="H166" s="13" t="s">
        <v>1274</v>
      </c>
      <c r="I166" s="11" t="s">
        <v>2783</v>
      </c>
      <c r="J166" s="11"/>
      <c r="K166" s="11"/>
      <c r="L166" s="11"/>
      <c r="M166" s="13" t="s">
        <v>2187</v>
      </c>
      <c r="N166" s="12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3" t="s">
        <v>2766</v>
      </c>
      <c r="AB166" s="13">
        <v>202.37029999999999</v>
      </c>
      <c r="AC166" s="13" t="s">
        <v>2323</v>
      </c>
      <c r="AD166" s="13" t="s">
        <v>203</v>
      </c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</row>
    <row r="167" spans="1:40" ht="20.100000000000001" customHeight="1">
      <c r="A167" s="11">
        <v>166</v>
      </c>
      <c r="B167" s="12" t="s">
        <v>38</v>
      </c>
      <c r="C167" s="12" t="s">
        <v>38</v>
      </c>
      <c r="D167" s="13" t="s">
        <v>2312</v>
      </c>
      <c r="E167" s="11"/>
      <c r="F167" s="12"/>
      <c r="G167" s="13" t="str">
        <f>"9780470618776"</f>
        <v>9780470618776</v>
      </c>
      <c r="H167" s="13" t="s">
        <v>1275</v>
      </c>
      <c r="I167" s="11" t="s">
        <v>2783</v>
      </c>
      <c r="J167" s="11"/>
      <c r="K167" s="11"/>
      <c r="L167" s="11"/>
      <c r="M167" s="13" t="s">
        <v>2176</v>
      </c>
      <c r="N167" s="12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3" t="s">
        <v>2766</v>
      </c>
      <c r="AB167" s="13" t="s">
        <v>2549</v>
      </c>
      <c r="AC167" s="13" t="s">
        <v>2366</v>
      </c>
      <c r="AD167" s="13" t="s">
        <v>204</v>
      </c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</row>
    <row r="168" spans="1:40" ht="20.100000000000001" customHeight="1">
      <c r="A168" s="11">
        <v>167</v>
      </c>
      <c r="B168" s="12" t="s">
        <v>38</v>
      </c>
      <c r="C168" s="12" t="s">
        <v>38</v>
      </c>
      <c r="D168" s="13" t="s">
        <v>2312</v>
      </c>
      <c r="E168" s="11"/>
      <c r="F168" s="12"/>
      <c r="G168" s="13" t="str">
        <f>"9780470634462"</f>
        <v>9780470634462</v>
      </c>
      <c r="H168" s="13" t="s">
        <v>1276</v>
      </c>
      <c r="I168" s="11" t="s">
        <v>2783</v>
      </c>
      <c r="J168" s="11"/>
      <c r="K168" s="11"/>
      <c r="L168" s="11"/>
      <c r="M168" s="13" t="s">
        <v>2176</v>
      </c>
      <c r="N168" s="12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3" t="s">
        <v>2766</v>
      </c>
      <c r="AB168" s="13">
        <v>576.5</v>
      </c>
      <c r="AC168" s="13" t="s">
        <v>2367</v>
      </c>
      <c r="AD168" s="13" t="s">
        <v>205</v>
      </c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</row>
    <row r="169" spans="1:40" ht="20.100000000000001" customHeight="1">
      <c r="A169" s="11">
        <v>168</v>
      </c>
      <c r="B169" s="12" t="s">
        <v>38</v>
      </c>
      <c r="C169" s="12" t="s">
        <v>38</v>
      </c>
      <c r="D169" s="13" t="s">
        <v>2312</v>
      </c>
      <c r="E169" s="11"/>
      <c r="F169" s="12"/>
      <c r="G169" s="13" t="str">
        <f>"9781444324099"</f>
        <v>9781444324099</v>
      </c>
      <c r="H169" s="13" t="s">
        <v>1277</v>
      </c>
      <c r="I169" s="11" t="s">
        <v>2783</v>
      </c>
      <c r="J169" s="11"/>
      <c r="K169" s="11"/>
      <c r="L169" s="11"/>
      <c r="M169" s="13" t="s">
        <v>2176</v>
      </c>
      <c r="N169" s="12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3" t="s">
        <v>2766</v>
      </c>
      <c r="AB169" s="13">
        <v>200.97300000000001</v>
      </c>
      <c r="AC169" s="13" t="s">
        <v>2323</v>
      </c>
      <c r="AD169" s="13" t="s">
        <v>206</v>
      </c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</row>
    <row r="170" spans="1:40" ht="20.100000000000001" customHeight="1">
      <c r="A170" s="11">
        <v>169</v>
      </c>
      <c r="B170" s="12" t="s">
        <v>38</v>
      </c>
      <c r="C170" s="12" t="s">
        <v>38</v>
      </c>
      <c r="D170" s="13" t="s">
        <v>2312</v>
      </c>
      <c r="E170" s="11"/>
      <c r="F170" s="12"/>
      <c r="G170" s="13" t="str">
        <f>"9781444320046"</f>
        <v>9781444320046</v>
      </c>
      <c r="H170" s="13" t="s">
        <v>1278</v>
      </c>
      <c r="I170" s="11" t="s">
        <v>2783</v>
      </c>
      <c r="J170" s="11"/>
      <c r="K170" s="11"/>
      <c r="L170" s="11"/>
      <c r="M170" s="13" t="s">
        <v>2176</v>
      </c>
      <c r="N170" s="12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3" t="s">
        <v>2766</v>
      </c>
      <c r="AB170" s="13">
        <v>573</v>
      </c>
      <c r="AC170" s="13" t="s">
        <v>2368</v>
      </c>
      <c r="AD170" s="13" t="s">
        <v>207</v>
      </c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</row>
    <row r="171" spans="1:40" ht="20.100000000000001" customHeight="1">
      <c r="A171" s="11">
        <v>170</v>
      </c>
      <c r="B171" s="12" t="s">
        <v>38</v>
      </c>
      <c r="C171" s="12" t="s">
        <v>38</v>
      </c>
      <c r="D171" s="13" t="s">
        <v>2312</v>
      </c>
      <c r="E171" s="11"/>
      <c r="F171" s="12"/>
      <c r="G171" s="13" t="str">
        <f>"9780511726385"</f>
        <v>9780511726385</v>
      </c>
      <c r="H171" s="13" t="s">
        <v>1279</v>
      </c>
      <c r="I171" s="11" t="s">
        <v>2783</v>
      </c>
      <c r="J171" s="11"/>
      <c r="K171" s="11"/>
      <c r="L171" s="11"/>
      <c r="M171" s="13" t="s">
        <v>2177</v>
      </c>
      <c r="N171" s="12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3" t="s">
        <v>2766</v>
      </c>
      <c r="AB171" s="13" t="s">
        <v>2549</v>
      </c>
      <c r="AC171" s="13" t="s">
        <v>2347</v>
      </c>
      <c r="AD171" s="13" t="s">
        <v>208</v>
      </c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</row>
    <row r="172" spans="1:40" ht="20.100000000000001" customHeight="1">
      <c r="A172" s="11">
        <v>171</v>
      </c>
      <c r="B172" s="12" t="s">
        <v>38</v>
      </c>
      <c r="C172" s="12" t="s">
        <v>38</v>
      </c>
      <c r="D172" s="13" t="s">
        <v>2312</v>
      </c>
      <c r="E172" s="11"/>
      <c r="F172" s="12"/>
      <c r="G172" s="13" t="str">
        <f>"9780470649077"</f>
        <v>9780470649077</v>
      </c>
      <c r="H172" s="13" t="s">
        <v>1280</v>
      </c>
      <c r="I172" s="11" t="s">
        <v>2783</v>
      </c>
      <c r="J172" s="11"/>
      <c r="K172" s="11"/>
      <c r="L172" s="11"/>
      <c r="M172" s="13" t="s">
        <v>2176</v>
      </c>
      <c r="N172" s="12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3" t="s">
        <v>2766</v>
      </c>
      <c r="AB172" s="13">
        <v>468.24209999999999</v>
      </c>
      <c r="AC172" s="13" t="s">
        <v>2345</v>
      </c>
      <c r="AD172" s="13" t="s">
        <v>209</v>
      </c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</row>
    <row r="173" spans="1:40" ht="20.100000000000001" customHeight="1">
      <c r="A173" s="11">
        <v>172</v>
      </c>
      <c r="B173" s="12" t="s">
        <v>38</v>
      </c>
      <c r="C173" s="12" t="s">
        <v>38</v>
      </c>
      <c r="D173" s="13" t="s">
        <v>2312</v>
      </c>
      <c r="E173" s="11"/>
      <c r="F173" s="12"/>
      <c r="G173" s="13" t="str">
        <f>"9781444323467"</f>
        <v>9781444323467</v>
      </c>
      <c r="H173" s="13" t="s">
        <v>1281</v>
      </c>
      <c r="I173" s="11" t="s">
        <v>2783</v>
      </c>
      <c r="J173" s="11"/>
      <c r="K173" s="11"/>
      <c r="L173" s="11"/>
      <c r="M173" s="13" t="s">
        <v>2176</v>
      </c>
      <c r="N173" s="12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3" t="s">
        <v>2766</v>
      </c>
      <c r="AB173" s="13">
        <v>306.02999999999997</v>
      </c>
      <c r="AC173" s="13" t="s">
        <v>2318</v>
      </c>
      <c r="AD173" s="13" t="s">
        <v>210</v>
      </c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</row>
    <row r="174" spans="1:40" ht="20.100000000000001" customHeight="1">
      <c r="A174" s="11">
        <v>173</v>
      </c>
      <c r="B174" s="12" t="s">
        <v>38</v>
      </c>
      <c r="C174" s="12" t="s">
        <v>38</v>
      </c>
      <c r="D174" s="13" t="s">
        <v>2312</v>
      </c>
      <c r="E174" s="11"/>
      <c r="F174" s="12"/>
      <c r="G174" s="13" t="str">
        <f>"9780470610657"</f>
        <v>9780470610657</v>
      </c>
      <c r="H174" s="13" t="s">
        <v>1282</v>
      </c>
      <c r="I174" s="11" t="s">
        <v>2783</v>
      </c>
      <c r="J174" s="11"/>
      <c r="K174" s="11"/>
      <c r="L174" s="11"/>
      <c r="M174" s="13" t="s">
        <v>2176</v>
      </c>
      <c r="N174" s="12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3" t="s">
        <v>2766</v>
      </c>
      <c r="AB174" s="13" t="s">
        <v>2550</v>
      </c>
      <c r="AC174" s="13" t="s">
        <v>2349</v>
      </c>
      <c r="AD174" s="13" t="s">
        <v>211</v>
      </c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</row>
    <row r="175" spans="1:40" ht="20.100000000000001" customHeight="1">
      <c r="A175" s="11">
        <v>174</v>
      </c>
      <c r="B175" s="12" t="s">
        <v>38</v>
      </c>
      <c r="C175" s="12" t="s">
        <v>38</v>
      </c>
      <c r="D175" s="13" t="s">
        <v>2312</v>
      </c>
      <c r="E175" s="11"/>
      <c r="F175" s="12"/>
      <c r="G175" s="13" t="str">
        <f>"9780470876022"</f>
        <v>9780470876022</v>
      </c>
      <c r="H175" s="13" t="s">
        <v>1283</v>
      </c>
      <c r="I175" s="11" t="s">
        <v>2780</v>
      </c>
      <c r="J175" s="11"/>
      <c r="K175" s="11"/>
      <c r="L175" s="11"/>
      <c r="M175" s="13" t="s">
        <v>2176</v>
      </c>
      <c r="N175" s="12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3" t="s">
        <v>2766</v>
      </c>
      <c r="AB175" s="13">
        <v>371.2</v>
      </c>
      <c r="AC175" s="13" t="s">
        <v>2349</v>
      </c>
      <c r="AD175" s="13" t="s">
        <v>212</v>
      </c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</row>
    <row r="176" spans="1:40" ht="20.100000000000001" customHeight="1">
      <c r="A176" s="11">
        <v>175</v>
      </c>
      <c r="B176" s="12" t="s">
        <v>38</v>
      </c>
      <c r="C176" s="12" t="s">
        <v>38</v>
      </c>
      <c r="D176" s="13" t="s">
        <v>2312</v>
      </c>
      <c r="E176" s="11"/>
      <c r="F176" s="12"/>
      <c r="G176" s="13" t="str">
        <f>"9780786456338"</f>
        <v>9780786456338</v>
      </c>
      <c r="H176" s="13" t="s">
        <v>1284</v>
      </c>
      <c r="I176" s="11" t="s">
        <v>2783</v>
      </c>
      <c r="J176" s="11"/>
      <c r="K176" s="11"/>
      <c r="L176" s="11"/>
      <c r="M176" s="13" t="s">
        <v>2187</v>
      </c>
      <c r="N176" s="12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3" t="s">
        <v>2766</v>
      </c>
      <c r="AB176" s="13">
        <v>364.660978</v>
      </c>
      <c r="AC176" s="13" t="s">
        <v>2318</v>
      </c>
      <c r="AD176" s="13" t="s">
        <v>213</v>
      </c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</row>
    <row r="177" spans="1:40" ht="20.100000000000001" customHeight="1">
      <c r="A177" s="11">
        <v>176</v>
      </c>
      <c r="B177" s="12" t="s">
        <v>38</v>
      </c>
      <c r="C177" s="12" t="s">
        <v>38</v>
      </c>
      <c r="D177" s="13" t="s">
        <v>2312</v>
      </c>
      <c r="E177" s="11"/>
      <c r="F177" s="12"/>
      <c r="G177" s="13" t="str">
        <f>"9780470649107"</f>
        <v>9780470649107</v>
      </c>
      <c r="H177" s="13" t="s">
        <v>1285</v>
      </c>
      <c r="I177" s="11" t="s">
        <v>2783</v>
      </c>
      <c r="J177" s="11"/>
      <c r="K177" s="11"/>
      <c r="L177" s="11"/>
      <c r="M177" s="13" t="s">
        <v>2176</v>
      </c>
      <c r="N177" s="12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3" t="s">
        <v>2766</v>
      </c>
      <c r="AB177" s="13">
        <v>650.1</v>
      </c>
      <c r="AC177" s="13" t="s">
        <v>2314</v>
      </c>
      <c r="AD177" s="13" t="s">
        <v>214</v>
      </c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</row>
    <row r="178" spans="1:40" ht="20.100000000000001" customHeight="1">
      <c r="A178" s="11">
        <v>177</v>
      </c>
      <c r="B178" s="12" t="s">
        <v>38</v>
      </c>
      <c r="C178" s="12" t="s">
        <v>38</v>
      </c>
      <c r="D178" s="13" t="s">
        <v>2312</v>
      </c>
      <c r="E178" s="11"/>
      <c r="F178" s="12"/>
      <c r="G178" s="13" t="str">
        <f>"9780511743184"</f>
        <v>9780511743184</v>
      </c>
      <c r="H178" s="13" t="s">
        <v>1286</v>
      </c>
      <c r="I178" s="11" t="s">
        <v>2783</v>
      </c>
      <c r="J178" s="11"/>
      <c r="K178" s="11"/>
      <c r="L178" s="11"/>
      <c r="M178" s="13" t="s">
        <v>2177</v>
      </c>
      <c r="N178" s="12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3" t="s">
        <v>2766</v>
      </c>
      <c r="AB178" s="13">
        <v>616.84910000000002</v>
      </c>
      <c r="AC178" s="13" t="s">
        <v>2328</v>
      </c>
      <c r="AD178" s="13" t="s">
        <v>215</v>
      </c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</row>
    <row r="179" spans="1:40" ht="20.100000000000001" customHeight="1">
      <c r="A179" s="11">
        <v>178</v>
      </c>
      <c r="B179" s="12" t="s">
        <v>38</v>
      </c>
      <c r="C179" s="12" t="s">
        <v>38</v>
      </c>
      <c r="D179" s="13" t="s">
        <v>2312</v>
      </c>
      <c r="E179" s="11"/>
      <c r="F179" s="12"/>
      <c r="G179" s="13" t="str">
        <f>"9780511743641"</f>
        <v>9780511743641</v>
      </c>
      <c r="H179" s="13" t="s">
        <v>1287</v>
      </c>
      <c r="I179" s="11" t="s">
        <v>2783</v>
      </c>
      <c r="J179" s="11"/>
      <c r="K179" s="11"/>
      <c r="L179" s="11"/>
      <c r="M179" s="13" t="s">
        <v>2177</v>
      </c>
      <c r="N179" s="12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3" t="s">
        <v>2766</v>
      </c>
      <c r="AB179" s="13">
        <v>192</v>
      </c>
      <c r="AC179" s="13" t="s">
        <v>2325</v>
      </c>
      <c r="AD179" s="13" t="s">
        <v>216</v>
      </c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</row>
    <row r="180" spans="1:40" ht="20.100000000000001" customHeight="1">
      <c r="A180" s="11">
        <v>179</v>
      </c>
      <c r="B180" s="12" t="s">
        <v>38</v>
      </c>
      <c r="C180" s="12" t="s">
        <v>38</v>
      </c>
      <c r="D180" s="13" t="s">
        <v>2312</v>
      </c>
      <c r="E180" s="11"/>
      <c r="F180" s="12"/>
      <c r="G180" s="13" t="str">
        <f>"9780511743221"</f>
        <v>9780511743221</v>
      </c>
      <c r="H180" s="13" t="s">
        <v>1288</v>
      </c>
      <c r="I180" s="11" t="s">
        <v>2783</v>
      </c>
      <c r="J180" s="11"/>
      <c r="K180" s="11"/>
      <c r="L180" s="11"/>
      <c r="M180" s="13" t="s">
        <v>2177</v>
      </c>
      <c r="N180" s="12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3" t="s">
        <v>2766</v>
      </c>
      <c r="AB180" s="13">
        <v>170</v>
      </c>
      <c r="AC180" s="13" t="s">
        <v>2325</v>
      </c>
      <c r="AD180" s="13" t="s">
        <v>217</v>
      </c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</row>
    <row r="181" spans="1:40" ht="20.100000000000001" customHeight="1">
      <c r="A181" s="11">
        <v>180</v>
      </c>
      <c r="B181" s="12" t="s">
        <v>38</v>
      </c>
      <c r="C181" s="12" t="s">
        <v>38</v>
      </c>
      <c r="D181" s="13" t="s">
        <v>2312</v>
      </c>
      <c r="E181" s="11"/>
      <c r="F181" s="12"/>
      <c r="G181" s="13" t="str">
        <f>"9780199708994"</f>
        <v>9780199708994</v>
      </c>
      <c r="H181" s="13" t="s">
        <v>1289</v>
      </c>
      <c r="I181" s="11" t="s">
        <v>2780</v>
      </c>
      <c r="J181" s="11"/>
      <c r="K181" s="11"/>
      <c r="L181" s="11"/>
      <c r="M181" s="13" t="s">
        <v>2188</v>
      </c>
      <c r="N181" s="12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3" t="s">
        <v>2766</v>
      </c>
      <c r="AB181" s="13" t="s">
        <v>2551</v>
      </c>
      <c r="AC181" s="13" t="s">
        <v>2327</v>
      </c>
      <c r="AD181" s="13" t="s">
        <v>218</v>
      </c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</row>
    <row r="182" spans="1:40" ht="20.100000000000001" customHeight="1">
      <c r="A182" s="11">
        <v>181</v>
      </c>
      <c r="B182" s="12" t="s">
        <v>38</v>
      </c>
      <c r="C182" s="12" t="s">
        <v>38</v>
      </c>
      <c r="D182" s="13" t="s">
        <v>2312</v>
      </c>
      <c r="E182" s="11"/>
      <c r="F182" s="12"/>
      <c r="G182" s="13" t="str">
        <f>"9781849280426"</f>
        <v>9781849280426</v>
      </c>
      <c r="H182" s="13" t="s">
        <v>1290</v>
      </c>
      <c r="I182" s="11" t="s">
        <v>2783</v>
      </c>
      <c r="J182" s="11"/>
      <c r="K182" s="11"/>
      <c r="L182" s="11"/>
      <c r="M182" s="13" t="s">
        <v>2189</v>
      </c>
      <c r="N182" s="12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3" t="s">
        <v>2766</v>
      </c>
      <c r="AB182" s="13">
        <v>5.8</v>
      </c>
      <c r="AC182" s="13" t="s">
        <v>2369</v>
      </c>
      <c r="AD182" s="13" t="s">
        <v>219</v>
      </c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</row>
    <row r="183" spans="1:40" ht="20.100000000000001" customHeight="1">
      <c r="A183" s="11">
        <v>182</v>
      </c>
      <c r="B183" s="12" t="s">
        <v>38</v>
      </c>
      <c r="C183" s="12" t="s">
        <v>38</v>
      </c>
      <c r="D183" s="13" t="s">
        <v>2312</v>
      </c>
      <c r="E183" s="11"/>
      <c r="F183" s="12"/>
      <c r="G183" s="13" t="str">
        <f>"9780786457571"</f>
        <v>9780786457571</v>
      </c>
      <c r="H183" s="13" t="s">
        <v>1291</v>
      </c>
      <c r="I183" s="11" t="s">
        <v>2783</v>
      </c>
      <c r="J183" s="11"/>
      <c r="K183" s="11"/>
      <c r="L183" s="11"/>
      <c r="M183" s="13" t="s">
        <v>2187</v>
      </c>
      <c r="N183" s="12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3" t="s">
        <v>2766</v>
      </c>
      <c r="AB183" s="13">
        <v>796.03</v>
      </c>
      <c r="AC183" s="13" t="s">
        <v>2338</v>
      </c>
      <c r="AD183" s="13" t="s">
        <v>220</v>
      </c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</row>
    <row r="184" spans="1:40" ht="20.100000000000001" customHeight="1">
      <c r="A184" s="11">
        <v>183</v>
      </c>
      <c r="B184" s="12" t="s">
        <v>38</v>
      </c>
      <c r="C184" s="12" t="s">
        <v>38</v>
      </c>
      <c r="D184" s="13" t="s">
        <v>2312</v>
      </c>
      <c r="E184" s="11"/>
      <c r="F184" s="12"/>
      <c r="G184" s="13" t="str">
        <f>"9780470883396"</f>
        <v>9780470883396</v>
      </c>
      <c r="H184" s="13" t="s">
        <v>1292</v>
      </c>
      <c r="I184" s="11" t="s">
        <v>2780</v>
      </c>
      <c r="J184" s="11"/>
      <c r="K184" s="11"/>
      <c r="L184" s="11"/>
      <c r="M184" s="13" t="s">
        <v>2176</v>
      </c>
      <c r="N184" s="12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3" t="s">
        <v>2766</v>
      </c>
      <c r="AB184" s="13" t="s">
        <v>2552</v>
      </c>
      <c r="AC184" s="13" t="s">
        <v>2334</v>
      </c>
      <c r="AD184" s="13" t="s">
        <v>221</v>
      </c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</row>
    <row r="185" spans="1:40" ht="20.100000000000001" customHeight="1">
      <c r="A185" s="11">
        <v>184</v>
      </c>
      <c r="B185" s="12" t="s">
        <v>38</v>
      </c>
      <c r="C185" s="12" t="s">
        <v>38</v>
      </c>
      <c r="D185" s="13" t="s">
        <v>2312</v>
      </c>
      <c r="E185" s="11"/>
      <c r="F185" s="12"/>
      <c r="G185" s="13" t="str">
        <f>"9780511774065"</f>
        <v>9780511774065</v>
      </c>
      <c r="H185" s="13" t="s">
        <v>1293</v>
      </c>
      <c r="I185" s="11" t="s">
        <v>2783</v>
      </c>
      <c r="J185" s="11"/>
      <c r="K185" s="11"/>
      <c r="L185" s="11"/>
      <c r="M185" s="13" t="s">
        <v>2177</v>
      </c>
      <c r="N185" s="12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3" t="s">
        <v>2766</v>
      </c>
      <c r="AB185" s="13" t="s">
        <v>2553</v>
      </c>
      <c r="AC185" s="13" t="s">
        <v>2328</v>
      </c>
      <c r="AD185" s="13" t="s">
        <v>222</v>
      </c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</row>
    <row r="186" spans="1:40" ht="20.100000000000001" customHeight="1">
      <c r="A186" s="11">
        <v>185</v>
      </c>
      <c r="B186" s="12" t="s">
        <v>38</v>
      </c>
      <c r="C186" s="12" t="s">
        <v>38</v>
      </c>
      <c r="D186" s="13" t="s">
        <v>2312</v>
      </c>
      <c r="E186" s="11"/>
      <c r="F186" s="12"/>
      <c r="G186" s="13" t="str">
        <f>"9780511767142"</f>
        <v>9780511767142</v>
      </c>
      <c r="H186" s="13" t="s">
        <v>1294</v>
      </c>
      <c r="I186" s="11" t="s">
        <v>2783</v>
      </c>
      <c r="J186" s="11"/>
      <c r="K186" s="11"/>
      <c r="L186" s="11"/>
      <c r="M186" s="13" t="s">
        <v>2177</v>
      </c>
      <c r="N186" s="12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3" t="s">
        <v>2766</v>
      </c>
      <c r="AB186" s="13">
        <v>571.32000000000005</v>
      </c>
      <c r="AC186" s="13" t="s">
        <v>2370</v>
      </c>
      <c r="AD186" s="13" t="s">
        <v>223</v>
      </c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</row>
    <row r="187" spans="1:40" ht="20.100000000000001" customHeight="1">
      <c r="A187" s="11">
        <v>186</v>
      </c>
      <c r="B187" s="12" t="s">
        <v>38</v>
      </c>
      <c r="C187" s="12" t="s">
        <v>38</v>
      </c>
      <c r="D187" s="13" t="s">
        <v>2312</v>
      </c>
      <c r="E187" s="11"/>
      <c r="F187" s="12"/>
      <c r="G187" s="13" t="str">
        <f>"9780511773921"</f>
        <v>9780511773921</v>
      </c>
      <c r="H187" s="13" t="s">
        <v>1295</v>
      </c>
      <c r="I187" s="11" t="s">
        <v>2783</v>
      </c>
      <c r="J187" s="11"/>
      <c r="K187" s="11"/>
      <c r="L187" s="11"/>
      <c r="M187" s="13" t="s">
        <v>2177</v>
      </c>
      <c r="N187" s="12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3" t="s">
        <v>2766</v>
      </c>
      <c r="AB187" s="13">
        <v>618.32000000000005</v>
      </c>
      <c r="AC187" s="13" t="s">
        <v>2328</v>
      </c>
      <c r="AD187" s="13" t="s">
        <v>224</v>
      </c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</row>
    <row r="188" spans="1:40" ht="20.100000000000001" customHeight="1">
      <c r="A188" s="11">
        <v>187</v>
      </c>
      <c r="B188" s="12" t="s">
        <v>38</v>
      </c>
      <c r="C188" s="12" t="s">
        <v>38</v>
      </c>
      <c r="D188" s="13" t="s">
        <v>2312</v>
      </c>
      <c r="E188" s="11"/>
      <c r="F188" s="12"/>
      <c r="G188" s="13" t="str">
        <f>"9780511766749"</f>
        <v>9780511766749</v>
      </c>
      <c r="H188" s="13" t="s">
        <v>1296</v>
      </c>
      <c r="I188" s="11" t="s">
        <v>2780</v>
      </c>
      <c r="J188" s="11"/>
      <c r="K188" s="11"/>
      <c r="L188" s="11"/>
      <c r="M188" s="13" t="s">
        <v>2177</v>
      </c>
      <c r="N188" s="12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3" t="s">
        <v>2766</v>
      </c>
      <c r="AB188" s="13" t="s">
        <v>2554</v>
      </c>
      <c r="AC188" s="13" t="s">
        <v>2371</v>
      </c>
      <c r="AD188" s="13" t="s">
        <v>225</v>
      </c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</row>
    <row r="189" spans="1:40" ht="20.100000000000001" customHeight="1">
      <c r="A189" s="11">
        <v>188</v>
      </c>
      <c r="B189" s="12" t="s">
        <v>38</v>
      </c>
      <c r="C189" s="12" t="s">
        <v>38</v>
      </c>
      <c r="D189" s="13" t="s">
        <v>2312</v>
      </c>
      <c r="E189" s="11"/>
      <c r="F189" s="12"/>
      <c r="G189" s="13" t="str">
        <f>"9781444314854"</f>
        <v>9781444314854</v>
      </c>
      <c r="H189" s="13" t="s">
        <v>1297</v>
      </c>
      <c r="I189" s="11" t="s">
        <v>2780</v>
      </c>
      <c r="J189" s="11"/>
      <c r="K189" s="11"/>
      <c r="L189" s="11"/>
      <c r="M189" s="13" t="s">
        <v>2176</v>
      </c>
      <c r="N189" s="12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3" t="s">
        <v>2766</v>
      </c>
      <c r="AB189" s="13">
        <v>199.8</v>
      </c>
      <c r="AC189" s="13" t="s">
        <v>2325</v>
      </c>
      <c r="AD189" s="13" t="s">
        <v>226</v>
      </c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</row>
    <row r="190" spans="1:40" ht="20.100000000000001" customHeight="1">
      <c r="A190" s="11">
        <v>189</v>
      </c>
      <c r="B190" s="12" t="s">
        <v>38</v>
      </c>
      <c r="C190" s="12" t="s">
        <v>38</v>
      </c>
      <c r="D190" s="13" t="s">
        <v>2312</v>
      </c>
      <c r="E190" s="11"/>
      <c r="F190" s="12"/>
      <c r="G190" s="13" t="str">
        <f>"9780470609170"</f>
        <v>9780470609170</v>
      </c>
      <c r="H190" s="13" t="s">
        <v>1298</v>
      </c>
      <c r="I190" s="11" t="s">
        <v>2783</v>
      </c>
      <c r="J190" s="11"/>
      <c r="K190" s="11"/>
      <c r="L190" s="11"/>
      <c r="M190" s="13" t="s">
        <v>2176</v>
      </c>
      <c r="N190" s="12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3" t="s">
        <v>2766</v>
      </c>
      <c r="AB190" s="13" t="s">
        <v>2555</v>
      </c>
      <c r="AC190" s="13" t="s">
        <v>2346</v>
      </c>
      <c r="AD190" s="13" t="s">
        <v>227</v>
      </c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</row>
    <row r="191" spans="1:40" ht="20.100000000000001" customHeight="1">
      <c r="A191" s="11">
        <v>190</v>
      </c>
      <c r="B191" s="12" t="s">
        <v>38</v>
      </c>
      <c r="C191" s="12" t="s">
        <v>38</v>
      </c>
      <c r="D191" s="13" t="s">
        <v>2312</v>
      </c>
      <c r="E191" s="11"/>
      <c r="F191" s="12"/>
      <c r="G191" s="13" t="str">
        <f>"9780199713806"</f>
        <v>9780199713806</v>
      </c>
      <c r="H191" s="13" t="s">
        <v>1299</v>
      </c>
      <c r="I191" s="11" t="s">
        <v>2780</v>
      </c>
      <c r="J191" s="11"/>
      <c r="K191" s="11"/>
      <c r="L191" s="11"/>
      <c r="M191" s="13" t="s">
        <v>2188</v>
      </c>
      <c r="N191" s="12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3" t="s">
        <v>2766</v>
      </c>
      <c r="AB191" s="13">
        <v>909.08</v>
      </c>
      <c r="AC191" s="13" t="s">
        <v>2372</v>
      </c>
      <c r="AD191" s="13" t="s">
        <v>228</v>
      </c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</row>
    <row r="192" spans="1:40" ht="20.100000000000001" customHeight="1">
      <c r="A192" s="11">
        <v>191</v>
      </c>
      <c r="B192" s="12" t="s">
        <v>38</v>
      </c>
      <c r="C192" s="12" t="s">
        <v>38</v>
      </c>
      <c r="D192" s="13" t="s">
        <v>2312</v>
      </c>
      <c r="E192" s="11"/>
      <c r="F192" s="12"/>
      <c r="G192" s="13" t="str">
        <f>"9780230101036"</f>
        <v>9780230101036</v>
      </c>
      <c r="H192" s="13" t="s">
        <v>1300</v>
      </c>
      <c r="I192" s="11" t="s">
        <v>2780</v>
      </c>
      <c r="J192" s="11"/>
      <c r="K192" s="11"/>
      <c r="L192" s="11"/>
      <c r="M192" s="13" t="s">
        <v>2190</v>
      </c>
      <c r="N192" s="12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3" t="s">
        <v>2766</v>
      </c>
      <c r="AB192" s="13">
        <v>371.2</v>
      </c>
      <c r="AC192" s="13" t="s">
        <v>2349</v>
      </c>
      <c r="AD192" s="13" t="s">
        <v>229</v>
      </c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</row>
    <row r="193" spans="1:40" ht="20.100000000000001" customHeight="1">
      <c r="A193" s="11">
        <v>192</v>
      </c>
      <c r="B193" s="12" t="s">
        <v>38</v>
      </c>
      <c r="C193" s="12" t="s">
        <v>38</v>
      </c>
      <c r="D193" s="13" t="s">
        <v>2312</v>
      </c>
      <c r="E193" s="11"/>
      <c r="F193" s="12"/>
      <c r="G193" s="13" t="str">
        <f>"9781615301768"</f>
        <v>9781615301768</v>
      </c>
      <c r="H193" s="13" t="s">
        <v>1301</v>
      </c>
      <c r="I193" s="11" t="s">
        <v>2783</v>
      </c>
      <c r="J193" s="11"/>
      <c r="K193" s="11"/>
      <c r="L193" s="11"/>
      <c r="M193" s="13" t="s">
        <v>2191</v>
      </c>
      <c r="N193" s="12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3" t="s">
        <v>2766</v>
      </c>
      <c r="AB193" s="13" t="s">
        <v>2556</v>
      </c>
      <c r="AC193" s="13" t="s">
        <v>2373</v>
      </c>
      <c r="AD193" s="13" t="s">
        <v>230</v>
      </c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</row>
    <row r="194" spans="1:40" ht="20.100000000000001" customHeight="1">
      <c r="A194" s="11">
        <v>193</v>
      </c>
      <c r="B194" s="12" t="s">
        <v>38</v>
      </c>
      <c r="C194" s="12" t="s">
        <v>38</v>
      </c>
      <c r="D194" s="13" t="s">
        <v>2312</v>
      </c>
      <c r="E194" s="11"/>
      <c r="F194" s="12"/>
      <c r="G194" s="13" t="str">
        <f>"9780511799099"</f>
        <v>9780511799099</v>
      </c>
      <c r="H194" s="13" t="s">
        <v>1302</v>
      </c>
      <c r="I194" s="11" t="s">
        <v>2783</v>
      </c>
      <c r="J194" s="11"/>
      <c r="K194" s="11"/>
      <c r="L194" s="11"/>
      <c r="M194" s="13" t="s">
        <v>2177</v>
      </c>
      <c r="N194" s="12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3" t="s">
        <v>2766</v>
      </c>
      <c r="AB194" s="13" t="s">
        <v>2557</v>
      </c>
      <c r="AC194" s="13" t="s">
        <v>2313</v>
      </c>
      <c r="AD194" s="13" t="s">
        <v>231</v>
      </c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</row>
    <row r="195" spans="1:40" ht="20.100000000000001" customHeight="1">
      <c r="A195" s="11">
        <v>194</v>
      </c>
      <c r="B195" s="12" t="s">
        <v>38</v>
      </c>
      <c r="C195" s="12" t="s">
        <v>38</v>
      </c>
      <c r="D195" s="13" t="s">
        <v>2312</v>
      </c>
      <c r="E195" s="11"/>
      <c r="F195" s="12"/>
      <c r="G195" s="13" t="str">
        <f>"9780511799167"</f>
        <v>9780511799167</v>
      </c>
      <c r="H195" s="13" t="s">
        <v>1303</v>
      </c>
      <c r="I195" s="11" t="s">
        <v>2783</v>
      </c>
      <c r="J195" s="11"/>
      <c r="K195" s="11"/>
      <c r="L195" s="11"/>
      <c r="M195" s="13" t="s">
        <v>2177</v>
      </c>
      <c r="N195" s="12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3" t="s">
        <v>2766</v>
      </c>
      <c r="AB195" s="13" t="s">
        <v>2558</v>
      </c>
      <c r="AC195" s="13" t="s">
        <v>2313</v>
      </c>
      <c r="AD195" s="13" t="s">
        <v>232</v>
      </c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</row>
    <row r="196" spans="1:40" ht="20.100000000000001" customHeight="1">
      <c r="A196" s="11">
        <v>195</v>
      </c>
      <c r="B196" s="12" t="s">
        <v>38</v>
      </c>
      <c r="C196" s="12" t="s">
        <v>38</v>
      </c>
      <c r="D196" s="13" t="s">
        <v>2312</v>
      </c>
      <c r="E196" s="11"/>
      <c r="F196" s="12"/>
      <c r="G196" s="13" t="str">
        <f>"9780470689622"</f>
        <v>9780470689622</v>
      </c>
      <c r="H196" s="13" t="s">
        <v>1304</v>
      </c>
      <c r="I196" s="11" t="s">
        <v>2783</v>
      </c>
      <c r="J196" s="11"/>
      <c r="K196" s="11"/>
      <c r="L196" s="11"/>
      <c r="M196" s="13" t="s">
        <v>2176</v>
      </c>
      <c r="N196" s="12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3" t="s">
        <v>2766</v>
      </c>
      <c r="AB196" s="13">
        <v>658.46</v>
      </c>
      <c r="AC196" s="13" t="s">
        <v>2314</v>
      </c>
      <c r="AD196" s="13" t="s">
        <v>233</v>
      </c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</row>
    <row r="197" spans="1:40" ht="20.100000000000001" customHeight="1">
      <c r="A197" s="11">
        <v>196</v>
      </c>
      <c r="B197" s="12" t="s">
        <v>38</v>
      </c>
      <c r="C197" s="12" t="s">
        <v>38</v>
      </c>
      <c r="D197" s="13" t="s">
        <v>2312</v>
      </c>
      <c r="E197" s="11"/>
      <c r="F197" s="12"/>
      <c r="G197" s="13" t="str">
        <f>"9780470660362"</f>
        <v>9780470660362</v>
      </c>
      <c r="H197" s="13" t="s">
        <v>1305</v>
      </c>
      <c r="I197" s="11" t="s">
        <v>2783</v>
      </c>
      <c r="J197" s="11"/>
      <c r="K197" s="11"/>
      <c r="L197" s="11"/>
      <c r="M197" s="13" t="s">
        <v>2176</v>
      </c>
      <c r="N197" s="12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3" t="s">
        <v>2766</v>
      </c>
      <c r="AB197" s="13">
        <v>658.5</v>
      </c>
      <c r="AC197" s="13" t="s">
        <v>2314</v>
      </c>
      <c r="AD197" s="13" t="s">
        <v>234</v>
      </c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</row>
    <row r="198" spans="1:40" ht="20.100000000000001" customHeight="1">
      <c r="A198" s="11">
        <v>197</v>
      </c>
      <c r="B198" s="12" t="s">
        <v>38</v>
      </c>
      <c r="C198" s="12" t="s">
        <v>38</v>
      </c>
      <c r="D198" s="13" t="s">
        <v>2312</v>
      </c>
      <c r="E198" s="11"/>
      <c r="F198" s="12"/>
      <c r="G198" s="13" t="str">
        <f>"9780470687437"</f>
        <v>9780470687437</v>
      </c>
      <c r="H198" s="13" t="s">
        <v>1306</v>
      </c>
      <c r="I198" s="11" t="s">
        <v>2778</v>
      </c>
      <c r="J198" s="11"/>
      <c r="K198" s="11"/>
      <c r="L198" s="11"/>
      <c r="M198" s="13" t="s">
        <v>2176</v>
      </c>
      <c r="N198" s="12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3" t="s">
        <v>2766</v>
      </c>
      <c r="AB198" s="13">
        <v>658</v>
      </c>
      <c r="AC198" s="13" t="s">
        <v>2314</v>
      </c>
      <c r="AD198" s="13" t="s">
        <v>235</v>
      </c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</row>
    <row r="199" spans="1:40" ht="20.100000000000001" customHeight="1">
      <c r="A199" s="11">
        <v>198</v>
      </c>
      <c r="B199" s="12" t="s">
        <v>38</v>
      </c>
      <c r="C199" s="12" t="s">
        <v>38</v>
      </c>
      <c r="D199" s="13" t="s">
        <v>2312</v>
      </c>
      <c r="E199" s="11"/>
      <c r="F199" s="12"/>
      <c r="G199" s="13" t="str">
        <f>"9780199780624"</f>
        <v>9780199780624</v>
      </c>
      <c r="H199" s="13" t="s">
        <v>1307</v>
      </c>
      <c r="I199" s="11" t="s">
        <v>2783</v>
      </c>
      <c r="J199" s="11"/>
      <c r="K199" s="11"/>
      <c r="L199" s="11"/>
      <c r="M199" s="13" t="s">
        <v>2188</v>
      </c>
      <c r="N199" s="12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3" t="s">
        <v>2766</v>
      </c>
      <c r="AB199" s="13">
        <v>616.1</v>
      </c>
      <c r="AC199" s="13" t="s">
        <v>2328</v>
      </c>
      <c r="AD199" s="13" t="s">
        <v>236</v>
      </c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</row>
    <row r="200" spans="1:40" ht="20.100000000000001" customHeight="1">
      <c r="A200" s="11">
        <v>199</v>
      </c>
      <c r="B200" s="12" t="s">
        <v>38</v>
      </c>
      <c r="C200" s="12" t="s">
        <v>38</v>
      </c>
      <c r="D200" s="13" t="s">
        <v>2312</v>
      </c>
      <c r="E200" s="11"/>
      <c r="F200" s="12"/>
      <c r="G200" s="13" t="str">
        <f>"9780786457632"</f>
        <v>9780786457632</v>
      </c>
      <c r="H200" s="13" t="s">
        <v>1308</v>
      </c>
      <c r="I200" s="11" t="s">
        <v>2783</v>
      </c>
      <c r="J200" s="11"/>
      <c r="K200" s="11"/>
      <c r="L200" s="11"/>
      <c r="M200" s="13" t="s">
        <v>2187</v>
      </c>
      <c r="N200" s="12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3" t="s">
        <v>2766</v>
      </c>
      <c r="AB200" s="13" t="s">
        <v>2559</v>
      </c>
      <c r="AC200" s="13" t="s">
        <v>2374</v>
      </c>
      <c r="AD200" s="13" t="s">
        <v>237</v>
      </c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</row>
    <row r="201" spans="1:40" ht="20.100000000000001" customHeight="1">
      <c r="A201" s="11">
        <v>200</v>
      </c>
      <c r="B201" s="12" t="s">
        <v>38</v>
      </c>
      <c r="C201" s="12" t="s">
        <v>38</v>
      </c>
      <c r="D201" s="13" t="s">
        <v>2312</v>
      </c>
      <c r="E201" s="11"/>
      <c r="F201" s="12"/>
      <c r="G201" s="13" t="str">
        <f>"9780199750436"</f>
        <v>9780199750436</v>
      </c>
      <c r="H201" s="13" t="s">
        <v>1309</v>
      </c>
      <c r="I201" s="11" t="s">
        <v>2783</v>
      </c>
      <c r="J201" s="11"/>
      <c r="K201" s="11"/>
      <c r="L201" s="11"/>
      <c r="M201" s="13" t="s">
        <v>2188</v>
      </c>
      <c r="N201" s="12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3" t="s">
        <v>2766</v>
      </c>
      <c r="AB201" s="13">
        <v>947.5</v>
      </c>
      <c r="AC201" s="13" t="s">
        <v>2317</v>
      </c>
      <c r="AD201" s="13" t="s">
        <v>238</v>
      </c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</row>
    <row r="202" spans="1:40" ht="20.100000000000001" customHeight="1">
      <c r="A202" s="11">
        <v>201</v>
      </c>
      <c r="B202" s="12" t="s">
        <v>38</v>
      </c>
      <c r="C202" s="12" t="s">
        <v>38</v>
      </c>
      <c r="D202" s="13" t="s">
        <v>2312</v>
      </c>
      <c r="E202" s="11"/>
      <c r="F202" s="12"/>
      <c r="G202" s="13" t="str">
        <f>"9780511915161"</f>
        <v>9780511915161</v>
      </c>
      <c r="H202" s="13" t="s">
        <v>1310</v>
      </c>
      <c r="I202" s="11" t="s">
        <v>2783</v>
      </c>
      <c r="J202" s="11"/>
      <c r="K202" s="11"/>
      <c r="L202" s="11"/>
      <c r="M202" s="13" t="s">
        <v>2177</v>
      </c>
      <c r="N202" s="12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3" t="s">
        <v>2766</v>
      </c>
      <c r="AB202" s="13" t="s">
        <v>2560</v>
      </c>
      <c r="AC202" s="13" t="s">
        <v>2328</v>
      </c>
      <c r="AD202" s="13" t="s">
        <v>239</v>
      </c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</row>
    <row r="203" spans="1:40" ht="20.100000000000001" customHeight="1">
      <c r="A203" s="11">
        <v>202</v>
      </c>
      <c r="B203" s="12" t="s">
        <v>38</v>
      </c>
      <c r="C203" s="12" t="s">
        <v>38</v>
      </c>
      <c r="D203" s="13" t="s">
        <v>2312</v>
      </c>
      <c r="E203" s="11"/>
      <c r="F203" s="12"/>
      <c r="G203" s="13" t="str">
        <f>"9780511915086"</f>
        <v>9780511915086</v>
      </c>
      <c r="H203" s="13" t="s">
        <v>1311</v>
      </c>
      <c r="I203" s="11" t="s">
        <v>2783</v>
      </c>
      <c r="J203" s="11"/>
      <c r="K203" s="11"/>
      <c r="L203" s="11"/>
      <c r="M203" s="13" t="s">
        <v>2177</v>
      </c>
      <c r="N203" s="12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3" t="s">
        <v>2766</v>
      </c>
      <c r="AB203" s="13" t="s">
        <v>2561</v>
      </c>
      <c r="AC203" s="13" t="s">
        <v>2313</v>
      </c>
      <c r="AD203" s="13" t="s">
        <v>240</v>
      </c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</row>
    <row r="204" spans="1:40" ht="20.100000000000001" customHeight="1">
      <c r="A204" s="11">
        <v>203</v>
      </c>
      <c r="B204" s="12" t="s">
        <v>38</v>
      </c>
      <c r="C204" s="12" t="s">
        <v>38</v>
      </c>
      <c r="D204" s="13" t="s">
        <v>2312</v>
      </c>
      <c r="E204" s="11"/>
      <c r="F204" s="12"/>
      <c r="G204" s="13" t="str">
        <f>"9780511914966"</f>
        <v>9780511914966</v>
      </c>
      <c r="H204" s="13" t="s">
        <v>1312</v>
      </c>
      <c r="I204" s="11" t="s">
        <v>2783</v>
      </c>
      <c r="J204" s="11"/>
      <c r="K204" s="11"/>
      <c r="L204" s="11"/>
      <c r="M204" s="13" t="s">
        <v>2177</v>
      </c>
      <c r="N204" s="12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3" t="s">
        <v>2766</v>
      </c>
      <c r="AB204" s="13" t="s">
        <v>2535</v>
      </c>
      <c r="AC204" s="13" t="s">
        <v>2328</v>
      </c>
      <c r="AD204" s="13" t="s">
        <v>241</v>
      </c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</row>
    <row r="205" spans="1:40" ht="20.100000000000001" customHeight="1">
      <c r="A205" s="11">
        <v>204</v>
      </c>
      <c r="B205" s="12" t="s">
        <v>38</v>
      </c>
      <c r="C205" s="12" t="s">
        <v>38</v>
      </c>
      <c r="D205" s="13" t="s">
        <v>2312</v>
      </c>
      <c r="E205" s="11"/>
      <c r="F205" s="12"/>
      <c r="G205" s="13" t="str">
        <f>"9780511915314"</f>
        <v>9780511915314</v>
      </c>
      <c r="H205" s="13" t="s">
        <v>1313</v>
      </c>
      <c r="I205" s="11" t="s">
        <v>2783</v>
      </c>
      <c r="J205" s="11"/>
      <c r="K205" s="11"/>
      <c r="L205" s="11"/>
      <c r="M205" s="13" t="s">
        <v>2177</v>
      </c>
      <c r="N205" s="12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3" t="s">
        <v>2766</v>
      </c>
      <c r="AB205" s="13">
        <v>891.72299999999996</v>
      </c>
      <c r="AC205" s="13" t="s">
        <v>2375</v>
      </c>
      <c r="AD205" s="13" t="s">
        <v>242</v>
      </c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</row>
    <row r="206" spans="1:40" ht="20.100000000000001" customHeight="1">
      <c r="A206" s="11">
        <v>205</v>
      </c>
      <c r="B206" s="12" t="s">
        <v>38</v>
      </c>
      <c r="C206" s="12" t="s">
        <v>38</v>
      </c>
      <c r="D206" s="13" t="s">
        <v>2312</v>
      </c>
      <c r="E206" s="11"/>
      <c r="F206" s="12"/>
      <c r="G206" s="13" t="str">
        <f>"9780511915369"</f>
        <v>9780511915369</v>
      </c>
      <c r="H206" s="13" t="s">
        <v>1314</v>
      </c>
      <c r="I206" s="11" t="s">
        <v>2783</v>
      </c>
      <c r="J206" s="11"/>
      <c r="K206" s="11"/>
      <c r="L206" s="11"/>
      <c r="M206" s="13" t="s">
        <v>2177</v>
      </c>
      <c r="N206" s="12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3" t="s">
        <v>2766</v>
      </c>
      <c r="AB206" s="13">
        <v>809.3</v>
      </c>
      <c r="AC206" s="13" t="s">
        <v>2313</v>
      </c>
      <c r="AD206" s="13" t="s">
        <v>243</v>
      </c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</row>
    <row r="207" spans="1:40" ht="20.100000000000001" customHeight="1">
      <c r="A207" s="11">
        <v>206</v>
      </c>
      <c r="B207" s="12" t="s">
        <v>38</v>
      </c>
      <c r="C207" s="12" t="s">
        <v>38</v>
      </c>
      <c r="D207" s="13" t="s">
        <v>2312</v>
      </c>
      <c r="E207" s="11"/>
      <c r="F207" s="12"/>
      <c r="G207" s="13" t="str">
        <f>"9780511915291"</f>
        <v>9780511915291</v>
      </c>
      <c r="H207" s="13" t="s">
        <v>1315</v>
      </c>
      <c r="I207" s="11" t="s">
        <v>2783</v>
      </c>
      <c r="J207" s="11"/>
      <c r="K207" s="11"/>
      <c r="L207" s="11"/>
      <c r="M207" s="13" t="s">
        <v>2177</v>
      </c>
      <c r="N207" s="12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3" t="s">
        <v>2766</v>
      </c>
      <c r="AB207" s="13">
        <v>821.3</v>
      </c>
      <c r="AC207" s="13" t="s">
        <v>2313</v>
      </c>
      <c r="AD207" s="13" t="s">
        <v>244</v>
      </c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</row>
    <row r="208" spans="1:40" ht="20.100000000000001" customHeight="1">
      <c r="A208" s="11">
        <v>207</v>
      </c>
      <c r="B208" s="12" t="s">
        <v>38</v>
      </c>
      <c r="C208" s="12" t="s">
        <v>38</v>
      </c>
      <c r="D208" s="13" t="s">
        <v>2312</v>
      </c>
      <c r="E208" s="11"/>
      <c r="F208" s="12"/>
      <c r="G208" s="13" t="str">
        <f>"9780470642269"</f>
        <v>9780470642269</v>
      </c>
      <c r="H208" s="13" t="s">
        <v>1316</v>
      </c>
      <c r="I208" s="11" t="s">
        <v>2783</v>
      </c>
      <c r="J208" s="11"/>
      <c r="K208" s="11"/>
      <c r="L208" s="11"/>
      <c r="M208" s="13" t="s">
        <v>2176</v>
      </c>
      <c r="N208" s="12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3" t="s">
        <v>2766</v>
      </c>
      <c r="AB208" s="13">
        <v>372.14</v>
      </c>
      <c r="AC208" s="13" t="s">
        <v>2349</v>
      </c>
      <c r="AD208" s="13" t="s">
        <v>245</v>
      </c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</row>
    <row r="209" spans="1:40" ht="20.100000000000001" customHeight="1">
      <c r="A209" s="11">
        <v>208</v>
      </c>
      <c r="B209" s="12" t="s">
        <v>38</v>
      </c>
      <c r="C209" s="12" t="s">
        <v>38</v>
      </c>
      <c r="D209" s="13" t="s">
        <v>2312</v>
      </c>
      <c r="E209" s="11"/>
      <c r="F209" s="12"/>
      <c r="G209" s="13" t="str">
        <f>"9780786459957"</f>
        <v>9780786459957</v>
      </c>
      <c r="H209" s="13" t="s">
        <v>1317</v>
      </c>
      <c r="I209" s="11" t="s">
        <v>2783</v>
      </c>
      <c r="J209" s="11"/>
      <c r="K209" s="11"/>
      <c r="L209" s="11"/>
      <c r="M209" s="13" t="s">
        <v>2187</v>
      </c>
      <c r="N209" s="12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3" t="s">
        <v>2766</v>
      </c>
      <c r="AB209" s="13" t="s">
        <v>2562</v>
      </c>
      <c r="AC209" s="13" t="s">
        <v>2345</v>
      </c>
      <c r="AD209" s="13" t="s">
        <v>246</v>
      </c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</row>
    <row r="210" spans="1:40" ht="20.100000000000001" customHeight="1">
      <c r="A210" s="11">
        <v>209</v>
      </c>
      <c r="B210" s="12" t="s">
        <v>38</v>
      </c>
      <c r="C210" s="12" t="s">
        <v>38</v>
      </c>
      <c r="D210" s="13" t="s">
        <v>2312</v>
      </c>
      <c r="E210" s="11"/>
      <c r="F210" s="12"/>
      <c r="G210" s="13" t="str">
        <f>"9780511927485"</f>
        <v>9780511927485</v>
      </c>
      <c r="H210" s="13" t="s">
        <v>1318</v>
      </c>
      <c r="I210" s="11" t="s">
        <v>2783</v>
      </c>
      <c r="J210" s="11"/>
      <c r="K210" s="11"/>
      <c r="L210" s="11"/>
      <c r="M210" s="13" t="s">
        <v>2177</v>
      </c>
      <c r="N210" s="12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3" t="s">
        <v>2766</v>
      </c>
      <c r="AB210" s="13" t="s">
        <v>2563</v>
      </c>
      <c r="AC210" s="13" t="s">
        <v>2376</v>
      </c>
      <c r="AD210" s="13" t="s">
        <v>247</v>
      </c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</row>
    <row r="211" spans="1:40" ht="20.100000000000001" customHeight="1">
      <c r="A211" s="11">
        <v>210</v>
      </c>
      <c r="B211" s="12" t="s">
        <v>38</v>
      </c>
      <c r="C211" s="12" t="s">
        <v>38</v>
      </c>
      <c r="D211" s="13" t="s">
        <v>2312</v>
      </c>
      <c r="E211" s="11"/>
      <c r="F211" s="12"/>
      <c r="G211" s="13" t="str">
        <f>"9780511928000"</f>
        <v>9780511928000</v>
      </c>
      <c r="H211" s="13" t="s">
        <v>1319</v>
      </c>
      <c r="I211" s="11" t="s">
        <v>2783</v>
      </c>
      <c r="J211" s="11"/>
      <c r="K211" s="11"/>
      <c r="L211" s="11"/>
      <c r="M211" s="13" t="s">
        <v>2177</v>
      </c>
      <c r="N211" s="12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3" t="s">
        <v>2766</v>
      </c>
      <c r="AB211" s="13">
        <v>616.84979999999996</v>
      </c>
      <c r="AC211" s="13" t="s">
        <v>2333</v>
      </c>
      <c r="AD211" s="13" t="s">
        <v>248</v>
      </c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</row>
    <row r="212" spans="1:40" ht="20.100000000000001" customHeight="1">
      <c r="A212" s="11">
        <v>211</v>
      </c>
      <c r="B212" s="12" t="s">
        <v>38</v>
      </c>
      <c r="C212" s="12" t="s">
        <v>38</v>
      </c>
      <c r="D212" s="13" t="s">
        <v>2312</v>
      </c>
      <c r="E212" s="11"/>
      <c r="F212" s="12"/>
      <c r="G212" s="13" t="str">
        <f>"9780511928291"</f>
        <v>9780511928291</v>
      </c>
      <c r="H212" s="13" t="s">
        <v>1320</v>
      </c>
      <c r="I212" s="11" t="s">
        <v>2784</v>
      </c>
      <c r="J212" s="11"/>
      <c r="K212" s="11"/>
      <c r="L212" s="11"/>
      <c r="M212" s="13" t="s">
        <v>2177</v>
      </c>
      <c r="N212" s="12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3" t="s">
        <v>2766</v>
      </c>
      <c r="AB212" s="13">
        <v>809.93355299999996</v>
      </c>
      <c r="AC212" s="13" t="s">
        <v>2313</v>
      </c>
      <c r="AD212" s="13" t="s">
        <v>249</v>
      </c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</row>
    <row r="213" spans="1:40" ht="20.100000000000001" customHeight="1">
      <c r="A213" s="11">
        <v>212</v>
      </c>
      <c r="B213" s="12" t="s">
        <v>38</v>
      </c>
      <c r="C213" s="12" t="s">
        <v>38</v>
      </c>
      <c r="D213" s="13" t="s">
        <v>2312</v>
      </c>
      <c r="E213" s="11"/>
      <c r="F213" s="12"/>
      <c r="G213" s="13" t="str">
        <f>"9780511927294"</f>
        <v>9780511927294</v>
      </c>
      <c r="H213" s="13" t="s">
        <v>1321</v>
      </c>
      <c r="I213" s="11" t="s">
        <v>2783</v>
      </c>
      <c r="J213" s="11"/>
      <c r="K213" s="11"/>
      <c r="L213" s="11"/>
      <c r="M213" s="13" t="s">
        <v>2177</v>
      </c>
      <c r="N213" s="12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3" t="s">
        <v>2766</v>
      </c>
      <c r="AB213" s="13">
        <v>507.2</v>
      </c>
      <c r="AC213" s="13" t="s">
        <v>2377</v>
      </c>
      <c r="AD213" s="13" t="s">
        <v>250</v>
      </c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</row>
    <row r="214" spans="1:40" ht="20.100000000000001" customHeight="1">
      <c r="A214" s="11">
        <v>213</v>
      </c>
      <c r="B214" s="12" t="s">
        <v>38</v>
      </c>
      <c r="C214" s="12" t="s">
        <v>38</v>
      </c>
      <c r="D214" s="13" t="s">
        <v>2312</v>
      </c>
      <c r="E214" s="11"/>
      <c r="F214" s="12"/>
      <c r="G214" s="13" t="str">
        <f>"9781615304097"</f>
        <v>9781615304097</v>
      </c>
      <c r="H214" s="13" t="s">
        <v>1322</v>
      </c>
      <c r="I214" s="11" t="s">
        <v>2783</v>
      </c>
      <c r="J214" s="11"/>
      <c r="K214" s="11"/>
      <c r="L214" s="11"/>
      <c r="M214" s="13" t="s">
        <v>2191</v>
      </c>
      <c r="N214" s="12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3" t="s">
        <v>2766</v>
      </c>
      <c r="AB214" s="13">
        <v>599.35</v>
      </c>
      <c r="AC214" s="13" t="s">
        <v>2316</v>
      </c>
      <c r="AD214" s="13" t="s">
        <v>251</v>
      </c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</row>
    <row r="215" spans="1:40" ht="20.100000000000001" customHeight="1">
      <c r="A215" s="11">
        <v>214</v>
      </c>
      <c r="B215" s="12" t="s">
        <v>38</v>
      </c>
      <c r="C215" s="12" t="s">
        <v>38</v>
      </c>
      <c r="D215" s="13" t="s">
        <v>2312</v>
      </c>
      <c r="E215" s="11"/>
      <c r="F215" s="12"/>
      <c r="G215" s="13" t="str">
        <f>"9780826117717"</f>
        <v>9780826117717</v>
      </c>
      <c r="H215" s="13" t="s">
        <v>1323</v>
      </c>
      <c r="I215" s="11" t="s">
        <v>2783</v>
      </c>
      <c r="J215" s="11"/>
      <c r="K215" s="11"/>
      <c r="L215" s="11"/>
      <c r="M215" s="13" t="s">
        <v>2183</v>
      </c>
      <c r="N215" s="12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3" t="s">
        <v>2766</v>
      </c>
      <c r="AB215" s="13"/>
      <c r="AC215" s="13" t="s">
        <v>2378</v>
      </c>
      <c r="AD215" s="13" t="s">
        <v>252</v>
      </c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</row>
    <row r="216" spans="1:40" ht="20.100000000000001" customHeight="1">
      <c r="A216" s="11">
        <v>215</v>
      </c>
      <c r="B216" s="12" t="s">
        <v>38</v>
      </c>
      <c r="C216" s="12" t="s">
        <v>38</v>
      </c>
      <c r="D216" s="13" t="s">
        <v>2312</v>
      </c>
      <c r="E216" s="11"/>
      <c r="F216" s="12"/>
      <c r="G216" s="13" t="str">
        <f>"9780511857713"</f>
        <v>9780511857713</v>
      </c>
      <c r="H216" s="13" t="s">
        <v>1324</v>
      </c>
      <c r="I216" s="11" t="s">
        <v>2783</v>
      </c>
      <c r="J216" s="11"/>
      <c r="K216" s="11"/>
      <c r="L216" s="11"/>
      <c r="M216" s="13" t="s">
        <v>2177</v>
      </c>
      <c r="N216" s="12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3" t="s">
        <v>2766</v>
      </c>
      <c r="AB216" s="13" t="s">
        <v>2564</v>
      </c>
      <c r="AC216" s="13" t="s">
        <v>2379</v>
      </c>
      <c r="AD216" s="13" t="s">
        <v>253</v>
      </c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</row>
    <row r="217" spans="1:40" ht="20.100000000000001" customHeight="1">
      <c r="A217" s="11">
        <v>216</v>
      </c>
      <c r="B217" s="12" t="s">
        <v>38</v>
      </c>
      <c r="C217" s="12" t="s">
        <v>38</v>
      </c>
      <c r="D217" s="13" t="s">
        <v>2312</v>
      </c>
      <c r="E217" s="11"/>
      <c r="F217" s="12"/>
      <c r="G217" s="13" t="str">
        <f>"9780511858345"</f>
        <v>9780511858345</v>
      </c>
      <c r="H217" s="13" t="s">
        <v>1325</v>
      </c>
      <c r="I217" s="11" t="s">
        <v>2784</v>
      </c>
      <c r="J217" s="11"/>
      <c r="K217" s="11"/>
      <c r="L217" s="11"/>
      <c r="M217" s="13" t="s">
        <v>2177</v>
      </c>
      <c r="N217" s="12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3" t="s">
        <v>2766</v>
      </c>
      <c r="AB217" s="13">
        <v>523.88</v>
      </c>
      <c r="AC217" s="13" t="s">
        <v>2320</v>
      </c>
      <c r="AD217" s="13" t="s">
        <v>254</v>
      </c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</row>
    <row r="218" spans="1:40" ht="20.100000000000001" customHeight="1">
      <c r="A218" s="11">
        <v>217</v>
      </c>
      <c r="B218" s="12" t="s">
        <v>38</v>
      </c>
      <c r="C218" s="12" t="s">
        <v>38</v>
      </c>
      <c r="D218" s="13" t="s">
        <v>2312</v>
      </c>
      <c r="E218" s="11"/>
      <c r="F218" s="12"/>
      <c r="G218" s="13" t="str">
        <f>"9781615303786"</f>
        <v>9781615303786</v>
      </c>
      <c r="H218" s="13" t="s">
        <v>1326</v>
      </c>
      <c r="I218" s="11" t="s">
        <v>2783</v>
      </c>
      <c r="J218" s="11"/>
      <c r="K218" s="11"/>
      <c r="L218" s="11"/>
      <c r="M218" s="13" t="s">
        <v>2191</v>
      </c>
      <c r="N218" s="12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3" t="s">
        <v>2766</v>
      </c>
      <c r="AB218" s="13">
        <v>577</v>
      </c>
      <c r="AC218" s="13" t="s">
        <v>2362</v>
      </c>
      <c r="AD218" s="13" t="s">
        <v>255</v>
      </c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</row>
    <row r="219" spans="1:40" ht="20.100000000000001" customHeight="1">
      <c r="A219" s="11">
        <v>218</v>
      </c>
      <c r="B219" s="12" t="s">
        <v>38</v>
      </c>
      <c r="C219" s="12" t="s">
        <v>38</v>
      </c>
      <c r="D219" s="13" t="s">
        <v>2312</v>
      </c>
      <c r="E219" s="11"/>
      <c r="F219" s="12"/>
      <c r="G219" s="13" t="str">
        <f>"9781615303854"</f>
        <v>9781615303854</v>
      </c>
      <c r="H219" s="13" t="s">
        <v>1327</v>
      </c>
      <c r="I219" s="11" t="s">
        <v>2783</v>
      </c>
      <c r="J219" s="11"/>
      <c r="K219" s="11"/>
      <c r="L219" s="11"/>
      <c r="M219" s="13" t="s">
        <v>2191</v>
      </c>
      <c r="N219" s="12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3" t="s">
        <v>2766</v>
      </c>
      <c r="AB219" s="13">
        <v>599.70000000000005</v>
      </c>
      <c r="AC219" s="13" t="s">
        <v>2316</v>
      </c>
      <c r="AD219" s="13" t="s">
        <v>256</v>
      </c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</row>
    <row r="220" spans="1:40" ht="20.100000000000001" customHeight="1">
      <c r="A220" s="11">
        <v>219</v>
      </c>
      <c r="B220" s="12" t="s">
        <v>38</v>
      </c>
      <c r="C220" s="12" t="s">
        <v>38</v>
      </c>
      <c r="D220" s="13" t="s">
        <v>2312</v>
      </c>
      <c r="E220" s="11"/>
      <c r="F220" s="12"/>
      <c r="G220" s="13" t="str">
        <f>"9781615304073"</f>
        <v>9781615304073</v>
      </c>
      <c r="H220" s="13" t="s">
        <v>1328</v>
      </c>
      <c r="I220" s="11" t="s">
        <v>2783</v>
      </c>
      <c r="J220" s="11"/>
      <c r="K220" s="11"/>
      <c r="L220" s="11"/>
      <c r="M220" s="13" t="s">
        <v>2191</v>
      </c>
      <c r="N220" s="12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3" t="s">
        <v>2766</v>
      </c>
      <c r="AB220" s="13">
        <v>953.6</v>
      </c>
      <c r="AC220" s="13" t="s">
        <v>2317</v>
      </c>
      <c r="AD220" s="13" t="s">
        <v>257</v>
      </c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</row>
    <row r="221" spans="1:40" ht="20.100000000000001" customHeight="1">
      <c r="A221" s="11">
        <v>220</v>
      </c>
      <c r="B221" s="12" t="s">
        <v>38</v>
      </c>
      <c r="C221" s="12" t="s">
        <v>38</v>
      </c>
      <c r="D221" s="13" t="s">
        <v>2312</v>
      </c>
      <c r="E221" s="11"/>
      <c r="F221" s="12"/>
      <c r="G221" s="13" t="str">
        <f>"9781615304080"</f>
        <v>9781615304080</v>
      </c>
      <c r="H221" s="13" t="s">
        <v>1329</v>
      </c>
      <c r="I221" s="11" t="s">
        <v>2783</v>
      </c>
      <c r="J221" s="11"/>
      <c r="K221" s="11"/>
      <c r="L221" s="11"/>
      <c r="M221" s="13" t="s">
        <v>2191</v>
      </c>
      <c r="N221" s="12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3" t="s">
        <v>2766</v>
      </c>
      <c r="AB221" s="13">
        <v>599.79999999999995</v>
      </c>
      <c r="AC221" s="13" t="s">
        <v>2380</v>
      </c>
      <c r="AD221" s="13" t="s">
        <v>258</v>
      </c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</row>
    <row r="222" spans="1:40" ht="20.100000000000001" customHeight="1">
      <c r="A222" s="11">
        <v>221</v>
      </c>
      <c r="B222" s="12" t="s">
        <v>38</v>
      </c>
      <c r="C222" s="12" t="s">
        <v>38</v>
      </c>
      <c r="D222" s="13" t="s">
        <v>2312</v>
      </c>
      <c r="E222" s="11"/>
      <c r="F222" s="12"/>
      <c r="G222" s="13" t="str">
        <f>"9780470872925"</f>
        <v>9780470872925</v>
      </c>
      <c r="H222" s="13" t="s">
        <v>1330</v>
      </c>
      <c r="I222" s="11" t="s">
        <v>2783</v>
      </c>
      <c r="J222" s="11"/>
      <c r="K222" s="11"/>
      <c r="L222" s="11"/>
      <c r="M222" s="13" t="s">
        <v>2176</v>
      </c>
      <c r="N222" s="12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3" t="s">
        <v>2766</v>
      </c>
      <c r="AB222" s="13" t="s">
        <v>2565</v>
      </c>
      <c r="AC222" s="13" t="s">
        <v>2349</v>
      </c>
      <c r="AD222" s="13" t="s">
        <v>259</v>
      </c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</row>
    <row r="223" spans="1:40" ht="20.100000000000001" customHeight="1">
      <c r="A223" s="11">
        <v>222</v>
      </c>
      <c r="B223" s="12" t="s">
        <v>38</v>
      </c>
      <c r="C223" s="12" t="s">
        <v>38</v>
      </c>
      <c r="D223" s="13" t="s">
        <v>2312</v>
      </c>
      <c r="E223" s="11"/>
      <c r="F223" s="12"/>
      <c r="G223" s="13" t="str">
        <f>"9781444328363"</f>
        <v>9781444328363</v>
      </c>
      <c r="H223" s="13" t="s">
        <v>1331</v>
      </c>
      <c r="I223" s="11" t="s">
        <v>2784</v>
      </c>
      <c r="J223" s="11"/>
      <c r="K223" s="11"/>
      <c r="L223" s="11"/>
      <c r="M223" s="13" t="s">
        <v>2176</v>
      </c>
      <c r="N223" s="12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3" t="s">
        <v>2766</v>
      </c>
      <c r="AB223" s="13">
        <v>796.08699999999999</v>
      </c>
      <c r="AC223" s="13" t="s">
        <v>2338</v>
      </c>
      <c r="AD223" s="13" t="s">
        <v>260</v>
      </c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</row>
    <row r="224" spans="1:40" ht="20.100000000000001" customHeight="1">
      <c r="A224" s="11">
        <v>223</v>
      </c>
      <c r="B224" s="12" t="s">
        <v>38</v>
      </c>
      <c r="C224" s="12" t="s">
        <v>38</v>
      </c>
      <c r="D224" s="13" t="s">
        <v>2312</v>
      </c>
      <c r="E224" s="11"/>
      <c r="F224" s="12"/>
      <c r="G224" s="13" t="str">
        <f>"9781444392630"</f>
        <v>9781444392630</v>
      </c>
      <c r="H224" s="13" t="s">
        <v>1332</v>
      </c>
      <c r="I224" s="11" t="s">
        <v>2784</v>
      </c>
      <c r="J224" s="11"/>
      <c r="K224" s="11"/>
      <c r="L224" s="11"/>
      <c r="M224" s="13" t="s">
        <v>2176</v>
      </c>
      <c r="N224" s="12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3" t="s">
        <v>2766</v>
      </c>
      <c r="AB224" s="13">
        <v>301.02999999999997</v>
      </c>
      <c r="AC224" s="13" t="s">
        <v>2318</v>
      </c>
      <c r="AD224" s="13" t="s">
        <v>261</v>
      </c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</row>
    <row r="225" spans="1:40" ht="20.100000000000001" customHeight="1">
      <c r="A225" s="11">
        <v>224</v>
      </c>
      <c r="B225" s="12" t="s">
        <v>38</v>
      </c>
      <c r="C225" s="12" t="s">
        <v>38</v>
      </c>
      <c r="D225" s="13" t="s">
        <v>2312</v>
      </c>
      <c r="E225" s="11"/>
      <c r="F225" s="12"/>
      <c r="G225" s="13" t="str">
        <f>"9781444327526"</f>
        <v>9781444327526</v>
      </c>
      <c r="H225" s="13" t="s">
        <v>1333</v>
      </c>
      <c r="I225" s="11" t="s">
        <v>2783</v>
      </c>
      <c r="J225" s="11"/>
      <c r="K225" s="11"/>
      <c r="L225" s="11"/>
      <c r="M225" s="13" t="s">
        <v>2176</v>
      </c>
      <c r="N225" s="12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3" t="s">
        <v>2766</v>
      </c>
      <c r="AB225" s="13" t="s">
        <v>2566</v>
      </c>
      <c r="AC225" s="13" t="s">
        <v>2317</v>
      </c>
      <c r="AD225" s="13" t="s">
        <v>262</v>
      </c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</row>
    <row r="226" spans="1:40" ht="20.100000000000001" customHeight="1">
      <c r="A226" s="11">
        <v>225</v>
      </c>
      <c r="B226" s="12" t="s">
        <v>38</v>
      </c>
      <c r="C226" s="12" t="s">
        <v>38</v>
      </c>
      <c r="D226" s="13" t="s">
        <v>2312</v>
      </c>
      <c r="E226" s="11"/>
      <c r="F226" s="12"/>
      <c r="G226" s="13" t="str">
        <f>"9781444392531"</f>
        <v>9781444392531</v>
      </c>
      <c r="H226" s="13" t="s">
        <v>1334</v>
      </c>
      <c r="I226" s="11" t="s">
        <v>2784</v>
      </c>
      <c r="J226" s="11"/>
      <c r="K226" s="11"/>
      <c r="L226" s="11"/>
      <c r="M226" s="13" t="s">
        <v>2176</v>
      </c>
      <c r="N226" s="12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3" t="s">
        <v>2766</v>
      </c>
      <c r="AB226" s="13"/>
      <c r="AC226" s="13" t="s">
        <v>2323</v>
      </c>
      <c r="AD226" s="13" t="s">
        <v>263</v>
      </c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</row>
    <row r="227" spans="1:40" ht="20.100000000000001" customHeight="1">
      <c r="A227" s="11">
        <v>226</v>
      </c>
      <c r="B227" s="12" t="s">
        <v>38</v>
      </c>
      <c r="C227" s="12" t="s">
        <v>38</v>
      </c>
      <c r="D227" s="13" t="s">
        <v>2312</v>
      </c>
      <c r="E227" s="11"/>
      <c r="F227" s="12"/>
      <c r="G227" s="13" t="str">
        <f>"9781615354870"</f>
        <v>9781615354870</v>
      </c>
      <c r="H227" s="13" t="s">
        <v>1335</v>
      </c>
      <c r="I227" s="11" t="s">
        <v>2784</v>
      </c>
      <c r="J227" s="11"/>
      <c r="K227" s="11"/>
      <c r="L227" s="11"/>
      <c r="M227" s="13" t="s">
        <v>2182</v>
      </c>
      <c r="N227" s="12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3" t="s">
        <v>2766</v>
      </c>
      <c r="AB227" s="13">
        <v>629.4</v>
      </c>
      <c r="AC227" s="13" t="s">
        <v>2381</v>
      </c>
      <c r="AD227" s="13" t="s">
        <v>264</v>
      </c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</row>
    <row r="228" spans="1:40" ht="20.100000000000001" customHeight="1">
      <c r="A228" s="11">
        <v>227</v>
      </c>
      <c r="B228" s="12" t="s">
        <v>38</v>
      </c>
      <c r="C228" s="12" t="s">
        <v>38</v>
      </c>
      <c r="D228" s="13" t="s">
        <v>2312</v>
      </c>
      <c r="E228" s="11"/>
      <c r="F228" s="12"/>
      <c r="G228" s="13" t="str">
        <f>"9781615354559"</f>
        <v>9781615354559</v>
      </c>
      <c r="H228" s="13" t="s">
        <v>1336</v>
      </c>
      <c r="I228" s="11" t="s">
        <v>2784</v>
      </c>
      <c r="J228" s="11"/>
      <c r="K228" s="11"/>
      <c r="L228" s="11"/>
      <c r="M228" s="13" t="s">
        <v>2182</v>
      </c>
      <c r="N228" s="12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3" t="s">
        <v>2766</v>
      </c>
      <c r="AB228" s="13" t="s">
        <v>2567</v>
      </c>
      <c r="AC228" s="13" t="s">
        <v>2382</v>
      </c>
      <c r="AD228" s="13" t="s">
        <v>265</v>
      </c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</row>
    <row r="229" spans="1:40" ht="20.100000000000001" customHeight="1">
      <c r="A229" s="11">
        <v>228</v>
      </c>
      <c r="B229" s="12" t="s">
        <v>38</v>
      </c>
      <c r="C229" s="12" t="s">
        <v>38</v>
      </c>
      <c r="D229" s="13" t="s">
        <v>2312</v>
      </c>
      <c r="E229" s="11"/>
      <c r="F229" s="12"/>
      <c r="G229" s="13" t="str">
        <f>"9789047444541"</f>
        <v>9789047444541</v>
      </c>
      <c r="H229" s="13" t="s">
        <v>1337</v>
      </c>
      <c r="I229" s="11" t="s">
        <v>2780</v>
      </c>
      <c r="J229" s="11"/>
      <c r="K229" s="11"/>
      <c r="L229" s="11"/>
      <c r="M229" s="13" t="s">
        <v>2184</v>
      </c>
      <c r="N229" s="12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3" t="s">
        <v>2766</v>
      </c>
      <c r="AB229" s="13" t="s">
        <v>2568</v>
      </c>
      <c r="AC229" s="13" t="s">
        <v>2334</v>
      </c>
      <c r="AD229" s="13" t="s">
        <v>266</v>
      </c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</row>
    <row r="230" spans="1:40" ht="20.100000000000001" customHeight="1">
      <c r="A230" s="11">
        <v>229</v>
      </c>
      <c r="B230" s="12" t="s">
        <v>38</v>
      </c>
      <c r="C230" s="12" t="s">
        <v>38</v>
      </c>
      <c r="D230" s="13" t="s">
        <v>2312</v>
      </c>
      <c r="E230" s="11"/>
      <c r="F230" s="12"/>
      <c r="G230" s="13" t="str">
        <f>"9781119996521"</f>
        <v>9781119996521</v>
      </c>
      <c r="H230" s="13" t="s">
        <v>1338</v>
      </c>
      <c r="I230" s="11" t="s">
        <v>2785</v>
      </c>
      <c r="J230" s="11"/>
      <c r="K230" s="11"/>
      <c r="L230" s="11"/>
      <c r="M230" s="13" t="s">
        <v>2176</v>
      </c>
      <c r="N230" s="12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3" t="s">
        <v>2766</v>
      </c>
      <c r="AB230" s="13">
        <v>808.06637799999999</v>
      </c>
      <c r="AC230" s="13" t="s">
        <v>2313</v>
      </c>
      <c r="AD230" s="13" t="s">
        <v>267</v>
      </c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</row>
    <row r="231" spans="1:40" ht="20.100000000000001" customHeight="1">
      <c r="A231" s="11">
        <v>230</v>
      </c>
      <c r="B231" s="12" t="s">
        <v>38</v>
      </c>
      <c r="C231" s="12" t="s">
        <v>38</v>
      </c>
      <c r="D231" s="13" t="s">
        <v>2312</v>
      </c>
      <c r="E231" s="11"/>
      <c r="F231" s="12"/>
      <c r="G231" s="13" t="str">
        <f>"9781444393699"</f>
        <v>9781444393699</v>
      </c>
      <c r="H231" s="13" t="s">
        <v>1339</v>
      </c>
      <c r="I231" s="11" t="s">
        <v>2784</v>
      </c>
      <c r="J231" s="11"/>
      <c r="K231" s="11"/>
      <c r="L231" s="11"/>
      <c r="M231" s="13" t="s">
        <v>2176</v>
      </c>
      <c r="N231" s="12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3" t="s">
        <v>2766</v>
      </c>
      <c r="AB231" s="13">
        <v>937</v>
      </c>
      <c r="AC231" s="13" t="s">
        <v>2317</v>
      </c>
      <c r="AD231" s="13" t="s">
        <v>268</v>
      </c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</row>
    <row r="232" spans="1:40" ht="20.100000000000001" customHeight="1">
      <c r="A232" s="11">
        <v>231</v>
      </c>
      <c r="B232" s="12" t="s">
        <v>38</v>
      </c>
      <c r="C232" s="12" t="s">
        <v>38</v>
      </c>
      <c r="D232" s="13" t="s">
        <v>2312</v>
      </c>
      <c r="E232" s="11"/>
      <c r="F232" s="12"/>
      <c r="G232" s="13" t="str">
        <f>"9780511994630"</f>
        <v>9780511994630</v>
      </c>
      <c r="H232" s="13" t="s">
        <v>1340</v>
      </c>
      <c r="I232" s="11" t="s">
        <v>2780</v>
      </c>
      <c r="J232" s="11"/>
      <c r="K232" s="11"/>
      <c r="L232" s="11"/>
      <c r="M232" s="13" t="s">
        <v>2177</v>
      </c>
      <c r="N232" s="12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3" t="s">
        <v>2766</v>
      </c>
      <c r="AB232" s="13">
        <v>616.07569999999998</v>
      </c>
      <c r="AC232" s="13" t="s">
        <v>2328</v>
      </c>
      <c r="AD232" s="13" t="s">
        <v>269</v>
      </c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</row>
    <row r="233" spans="1:40" ht="20.100000000000001" customHeight="1">
      <c r="A233" s="11">
        <v>232</v>
      </c>
      <c r="B233" s="12" t="s">
        <v>38</v>
      </c>
      <c r="C233" s="12" t="s">
        <v>38</v>
      </c>
      <c r="D233" s="13" t="s">
        <v>2312</v>
      </c>
      <c r="E233" s="11"/>
      <c r="F233" s="12"/>
      <c r="G233" s="13" t="str">
        <f>"9781118009932"</f>
        <v>9781118009932</v>
      </c>
      <c r="H233" s="13" t="s">
        <v>1341</v>
      </c>
      <c r="I233" s="11" t="s">
        <v>2784</v>
      </c>
      <c r="J233" s="11"/>
      <c r="K233" s="11"/>
      <c r="L233" s="11"/>
      <c r="M233" s="13" t="s">
        <v>2176</v>
      </c>
      <c r="N233" s="12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3" t="s">
        <v>2766</v>
      </c>
      <c r="AB233" s="13" t="s">
        <v>2569</v>
      </c>
      <c r="AC233" s="13" t="s">
        <v>2334</v>
      </c>
      <c r="AD233" s="13" t="s">
        <v>270</v>
      </c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</row>
    <row r="234" spans="1:40" ht="20.100000000000001" customHeight="1">
      <c r="A234" s="11">
        <v>233</v>
      </c>
      <c r="B234" s="12" t="s">
        <v>38</v>
      </c>
      <c r="C234" s="12" t="s">
        <v>38</v>
      </c>
      <c r="D234" s="13" t="s">
        <v>2312</v>
      </c>
      <c r="E234" s="11"/>
      <c r="F234" s="12"/>
      <c r="G234" s="13" t="str">
        <f>"9780470940150"</f>
        <v>9780470940150</v>
      </c>
      <c r="H234" s="13" t="s">
        <v>1342</v>
      </c>
      <c r="I234" s="11" t="s">
        <v>2784</v>
      </c>
      <c r="J234" s="11"/>
      <c r="K234" s="11"/>
      <c r="L234" s="11"/>
      <c r="M234" s="13" t="s">
        <v>2176</v>
      </c>
      <c r="N234" s="12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3" t="s">
        <v>2766</v>
      </c>
      <c r="AB234" s="13">
        <v>692</v>
      </c>
      <c r="AC234" s="13" t="s">
        <v>2383</v>
      </c>
      <c r="AD234" s="13" t="s">
        <v>271</v>
      </c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</row>
    <row r="235" spans="1:40" ht="20.100000000000001" customHeight="1">
      <c r="A235" s="11">
        <v>234</v>
      </c>
      <c r="B235" s="12" t="s">
        <v>38</v>
      </c>
      <c r="C235" s="12" t="s">
        <v>38</v>
      </c>
      <c r="D235" s="13" t="s">
        <v>2312</v>
      </c>
      <c r="E235" s="11"/>
      <c r="F235" s="12"/>
      <c r="G235" s="13" t="str">
        <f>"9781118000915"</f>
        <v>9781118000915</v>
      </c>
      <c r="H235" s="13" t="s">
        <v>1343</v>
      </c>
      <c r="I235" s="11" t="s">
        <v>2784</v>
      </c>
      <c r="J235" s="11"/>
      <c r="K235" s="11"/>
      <c r="L235" s="11"/>
      <c r="M235" s="13" t="s">
        <v>2176</v>
      </c>
      <c r="N235" s="12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3" t="s">
        <v>2766</v>
      </c>
      <c r="AB235" s="13" t="s">
        <v>2570</v>
      </c>
      <c r="AC235" s="13" t="s">
        <v>2349</v>
      </c>
      <c r="AD235" s="13" t="s">
        <v>272</v>
      </c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</row>
    <row r="236" spans="1:40" ht="20.100000000000001" customHeight="1">
      <c r="A236" s="11">
        <v>235</v>
      </c>
      <c r="B236" s="12" t="s">
        <v>38</v>
      </c>
      <c r="C236" s="12" t="s">
        <v>38</v>
      </c>
      <c r="D236" s="13" t="s">
        <v>2312</v>
      </c>
      <c r="E236" s="11"/>
      <c r="F236" s="12"/>
      <c r="G236" s="13" t="str">
        <f>"9780470740682"</f>
        <v>9780470740682</v>
      </c>
      <c r="H236" s="13" t="s">
        <v>1344</v>
      </c>
      <c r="I236" s="11" t="s">
        <v>2778</v>
      </c>
      <c r="J236" s="11"/>
      <c r="K236" s="11"/>
      <c r="L236" s="11"/>
      <c r="M236" s="13" t="s">
        <v>2176</v>
      </c>
      <c r="N236" s="12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3" t="s">
        <v>2766</v>
      </c>
      <c r="AB236" s="13">
        <v>941</v>
      </c>
      <c r="AC236" s="13" t="s">
        <v>2317</v>
      </c>
      <c r="AD236" s="13" t="s">
        <v>273</v>
      </c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</row>
    <row r="237" spans="1:40" ht="20.100000000000001" customHeight="1">
      <c r="A237" s="11">
        <v>236</v>
      </c>
      <c r="B237" s="12" t="s">
        <v>38</v>
      </c>
      <c r="C237" s="12" t="s">
        <v>38</v>
      </c>
      <c r="D237" s="13" t="s">
        <v>2312</v>
      </c>
      <c r="E237" s="11"/>
      <c r="F237" s="12"/>
      <c r="G237" s="13" t="str">
        <f>"9781444390575"</f>
        <v>9781444390575</v>
      </c>
      <c r="H237" s="13" t="s">
        <v>1345</v>
      </c>
      <c r="I237" s="11" t="s">
        <v>2784</v>
      </c>
      <c r="J237" s="11"/>
      <c r="K237" s="11"/>
      <c r="L237" s="11"/>
      <c r="M237" s="13" t="s">
        <v>2176</v>
      </c>
      <c r="N237" s="12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3" t="s">
        <v>2766</v>
      </c>
      <c r="AB237" s="13">
        <v>301.09539999999998</v>
      </c>
      <c r="AC237" s="13" t="s">
        <v>2318</v>
      </c>
      <c r="AD237" s="13" t="s">
        <v>274</v>
      </c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</row>
    <row r="238" spans="1:40" ht="20.100000000000001" customHeight="1">
      <c r="A238" s="11">
        <v>237</v>
      </c>
      <c r="B238" s="12" t="s">
        <v>38</v>
      </c>
      <c r="C238" s="12" t="s">
        <v>38</v>
      </c>
      <c r="D238" s="13" t="s">
        <v>2312</v>
      </c>
      <c r="E238" s="11"/>
      <c r="F238" s="12"/>
      <c r="G238" s="13" t="str">
        <f>"9781444393422"</f>
        <v>9781444393422</v>
      </c>
      <c r="H238" s="13" t="s">
        <v>1346</v>
      </c>
      <c r="I238" s="11" t="s">
        <v>2784</v>
      </c>
      <c r="J238" s="11"/>
      <c r="K238" s="11"/>
      <c r="L238" s="11"/>
      <c r="M238" s="13" t="s">
        <v>2176</v>
      </c>
      <c r="N238" s="12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3" t="s">
        <v>2766</v>
      </c>
      <c r="AB238" s="13">
        <v>306.44089609999997</v>
      </c>
      <c r="AC238" s="13" t="s">
        <v>2384</v>
      </c>
      <c r="AD238" s="13" t="s">
        <v>275</v>
      </c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</row>
    <row r="239" spans="1:40" ht="20.100000000000001" customHeight="1">
      <c r="A239" s="11">
        <v>238</v>
      </c>
      <c r="B239" s="12" t="s">
        <v>38</v>
      </c>
      <c r="C239" s="12" t="s">
        <v>38</v>
      </c>
      <c r="D239" s="13" t="s">
        <v>2312</v>
      </c>
      <c r="E239" s="11"/>
      <c r="F239" s="12"/>
      <c r="G239" s="13" t="str">
        <f>"9780786456123"</f>
        <v>9780786456123</v>
      </c>
      <c r="H239" s="13" t="s">
        <v>1347</v>
      </c>
      <c r="I239" s="11" t="s">
        <v>2783</v>
      </c>
      <c r="J239" s="11"/>
      <c r="K239" s="11"/>
      <c r="L239" s="11"/>
      <c r="M239" s="13" t="s">
        <v>2187</v>
      </c>
      <c r="N239" s="12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3" t="s">
        <v>2766</v>
      </c>
      <c r="AB239" s="13">
        <v>973.7</v>
      </c>
      <c r="AC239" s="13" t="s">
        <v>2317</v>
      </c>
      <c r="AD239" s="13" t="s">
        <v>276</v>
      </c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</row>
    <row r="240" spans="1:40" ht="20.100000000000001" customHeight="1">
      <c r="A240" s="11">
        <v>239</v>
      </c>
      <c r="B240" s="12" t="s">
        <v>38</v>
      </c>
      <c r="C240" s="12" t="s">
        <v>38</v>
      </c>
      <c r="D240" s="13" t="s">
        <v>2312</v>
      </c>
      <c r="E240" s="11"/>
      <c r="F240" s="12"/>
      <c r="G240" s="13" t="str">
        <f>"9780786458240"</f>
        <v>9780786458240</v>
      </c>
      <c r="H240" s="13" t="s">
        <v>1348</v>
      </c>
      <c r="I240" s="11" t="s">
        <v>2783</v>
      </c>
      <c r="J240" s="11"/>
      <c r="K240" s="11"/>
      <c r="L240" s="11"/>
      <c r="M240" s="13" t="s">
        <v>2187</v>
      </c>
      <c r="N240" s="12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3" t="s">
        <v>2766</v>
      </c>
      <c r="AB240" s="13">
        <v>942.01400000000001</v>
      </c>
      <c r="AC240" s="13" t="s">
        <v>2317</v>
      </c>
      <c r="AD240" s="13" t="s">
        <v>277</v>
      </c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</row>
    <row r="241" spans="1:40" ht="20.100000000000001" customHeight="1">
      <c r="A241" s="11">
        <v>240</v>
      </c>
      <c r="B241" s="12" t="s">
        <v>38</v>
      </c>
      <c r="C241" s="12" t="s">
        <v>38</v>
      </c>
      <c r="D241" s="13" t="s">
        <v>2312</v>
      </c>
      <c r="E241" s="11"/>
      <c r="F241" s="12"/>
      <c r="G241" s="13" t="str">
        <f>"9780786462292"</f>
        <v>9780786462292</v>
      </c>
      <c r="H241" s="13" t="s">
        <v>1349</v>
      </c>
      <c r="I241" s="11" t="s">
        <v>2784</v>
      </c>
      <c r="J241" s="11"/>
      <c r="K241" s="11"/>
      <c r="L241" s="11"/>
      <c r="M241" s="13" t="s">
        <v>2187</v>
      </c>
      <c r="N241" s="12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3" t="s">
        <v>2766</v>
      </c>
      <c r="AB241" s="13">
        <v>364.660978</v>
      </c>
      <c r="AC241" s="13" t="s">
        <v>2318</v>
      </c>
      <c r="AD241" s="13" t="s">
        <v>278</v>
      </c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</row>
    <row r="242" spans="1:40" ht="20.100000000000001" customHeight="1">
      <c r="A242" s="11">
        <v>241</v>
      </c>
      <c r="B242" s="12" t="s">
        <v>38</v>
      </c>
      <c r="C242" s="12" t="s">
        <v>38</v>
      </c>
      <c r="D242" s="13" t="s">
        <v>2312</v>
      </c>
      <c r="E242" s="11"/>
      <c r="F242" s="12"/>
      <c r="G242" s="13" t="str">
        <f>"9780199838875"</f>
        <v>9780199838875</v>
      </c>
      <c r="H242" s="13" t="s">
        <v>1350</v>
      </c>
      <c r="I242" s="11" t="s">
        <v>2774</v>
      </c>
      <c r="J242" s="11"/>
      <c r="K242" s="11"/>
      <c r="L242" s="11"/>
      <c r="M242" s="13" t="s">
        <v>2188</v>
      </c>
      <c r="N242" s="12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3" t="s">
        <v>2766</v>
      </c>
      <c r="AB242" s="13">
        <v>181</v>
      </c>
      <c r="AC242" s="13" t="s">
        <v>2325</v>
      </c>
      <c r="AD242" s="13" t="s">
        <v>279</v>
      </c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</row>
    <row r="243" spans="1:40" ht="20.100000000000001" customHeight="1">
      <c r="A243" s="11">
        <v>242</v>
      </c>
      <c r="B243" s="12" t="s">
        <v>38</v>
      </c>
      <c r="C243" s="12" t="s">
        <v>38</v>
      </c>
      <c r="D243" s="13" t="s">
        <v>2312</v>
      </c>
      <c r="E243" s="11"/>
      <c r="F243" s="12"/>
      <c r="G243" s="13" t="str">
        <f>"9780199813605"</f>
        <v>9780199813605</v>
      </c>
      <c r="H243" s="13" t="s">
        <v>1351</v>
      </c>
      <c r="I243" s="11" t="s">
        <v>2784</v>
      </c>
      <c r="J243" s="11"/>
      <c r="K243" s="11"/>
      <c r="L243" s="11"/>
      <c r="M243" s="13" t="s">
        <v>2188</v>
      </c>
      <c r="N243" s="12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3" t="s">
        <v>2766</v>
      </c>
      <c r="AB243" s="13">
        <v>616.99432999999999</v>
      </c>
      <c r="AC243" s="13" t="s">
        <v>2328</v>
      </c>
      <c r="AD243" s="13" t="s">
        <v>280</v>
      </c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</row>
    <row r="244" spans="1:40" ht="20.100000000000001" customHeight="1">
      <c r="A244" s="11">
        <v>243</v>
      </c>
      <c r="B244" s="12" t="s">
        <v>38</v>
      </c>
      <c r="C244" s="12" t="s">
        <v>38</v>
      </c>
      <c r="D244" s="13" t="s">
        <v>2312</v>
      </c>
      <c r="E244" s="11"/>
      <c r="F244" s="12"/>
      <c r="G244" s="13" t="str">
        <f>"9781139007924"</f>
        <v>9781139007924</v>
      </c>
      <c r="H244" s="13" t="s">
        <v>1352</v>
      </c>
      <c r="I244" s="11" t="s">
        <v>2783</v>
      </c>
      <c r="J244" s="11"/>
      <c r="K244" s="11"/>
      <c r="L244" s="11"/>
      <c r="M244" s="13" t="s">
        <v>2177</v>
      </c>
      <c r="N244" s="12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3" t="s">
        <v>2766</v>
      </c>
      <c r="AB244" s="13">
        <v>230.00299999999999</v>
      </c>
      <c r="AC244" s="13" t="s">
        <v>2323</v>
      </c>
      <c r="AD244" s="13" t="s">
        <v>281</v>
      </c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</row>
    <row r="245" spans="1:40" ht="20.100000000000001" customHeight="1">
      <c r="A245" s="11">
        <v>244</v>
      </c>
      <c r="B245" s="12" t="s">
        <v>38</v>
      </c>
      <c r="C245" s="12" t="s">
        <v>38</v>
      </c>
      <c r="D245" s="13" t="s">
        <v>2312</v>
      </c>
      <c r="E245" s="11"/>
      <c r="F245" s="12"/>
      <c r="G245" s="13" t="str">
        <f>"9781444395198"</f>
        <v>9781444395198</v>
      </c>
      <c r="H245" s="13" t="s">
        <v>1353</v>
      </c>
      <c r="I245" s="11" t="s">
        <v>2784</v>
      </c>
      <c r="J245" s="11"/>
      <c r="K245" s="11"/>
      <c r="L245" s="11"/>
      <c r="M245" s="13" t="s">
        <v>2176</v>
      </c>
      <c r="N245" s="12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3" t="s">
        <v>2766</v>
      </c>
      <c r="AB245" s="13"/>
      <c r="AC245" s="13" t="s">
        <v>2343</v>
      </c>
      <c r="AD245" s="13" t="s">
        <v>282</v>
      </c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</row>
    <row r="246" spans="1:40" ht="20.100000000000001" customHeight="1">
      <c r="A246" s="11">
        <v>245</v>
      </c>
      <c r="B246" s="12" t="s">
        <v>38</v>
      </c>
      <c r="C246" s="12" t="s">
        <v>38</v>
      </c>
      <c r="D246" s="13" t="s">
        <v>2312</v>
      </c>
      <c r="E246" s="11"/>
      <c r="F246" s="12"/>
      <c r="G246" s="13" t="str">
        <f>"9781444394917"</f>
        <v>9781444394917</v>
      </c>
      <c r="H246" s="13" t="s">
        <v>1354</v>
      </c>
      <c r="I246" s="11" t="s">
        <v>2784</v>
      </c>
      <c r="J246" s="11"/>
      <c r="K246" s="11"/>
      <c r="L246" s="11"/>
      <c r="M246" s="13" t="s">
        <v>2176</v>
      </c>
      <c r="N246" s="12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3" t="s">
        <v>2766</v>
      </c>
      <c r="AB246" s="13">
        <v>153</v>
      </c>
      <c r="AC246" s="13" t="s">
        <v>2385</v>
      </c>
      <c r="AD246" s="13" t="s">
        <v>283</v>
      </c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</row>
    <row r="247" spans="1:40" ht="20.100000000000001" customHeight="1">
      <c r="A247" s="11">
        <v>246</v>
      </c>
      <c r="B247" s="12" t="s">
        <v>38</v>
      </c>
      <c r="C247" s="12" t="s">
        <v>38</v>
      </c>
      <c r="D247" s="13" t="s">
        <v>2312</v>
      </c>
      <c r="E247" s="11"/>
      <c r="F247" s="12"/>
      <c r="G247" s="13" t="str">
        <f>"9781444343106"</f>
        <v>9781444343106</v>
      </c>
      <c r="H247" s="13" t="s">
        <v>1355</v>
      </c>
      <c r="I247" s="11" t="s">
        <v>2784</v>
      </c>
      <c r="J247" s="11"/>
      <c r="K247" s="11"/>
      <c r="L247" s="11"/>
      <c r="M247" s="13" t="s">
        <v>2176</v>
      </c>
      <c r="N247" s="12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3" t="s">
        <v>2766</v>
      </c>
      <c r="AB247" s="13"/>
      <c r="AC247" s="13" t="s">
        <v>2346</v>
      </c>
      <c r="AD247" s="13" t="s">
        <v>284</v>
      </c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</row>
    <row r="248" spans="1:40" ht="20.100000000000001" customHeight="1">
      <c r="A248" s="11">
        <v>247</v>
      </c>
      <c r="B248" s="12" t="s">
        <v>38</v>
      </c>
      <c r="C248" s="12" t="s">
        <v>38</v>
      </c>
      <c r="D248" s="13" t="s">
        <v>2312</v>
      </c>
      <c r="E248" s="11"/>
      <c r="F248" s="12"/>
      <c r="G248" s="13" t="str">
        <f>"9781444395136"</f>
        <v>9781444395136</v>
      </c>
      <c r="H248" s="13" t="s">
        <v>1356</v>
      </c>
      <c r="I248" s="11" t="s">
        <v>2784</v>
      </c>
      <c r="J248" s="11"/>
      <c r="K248" s="11"/>
      <c r="L248" s="11"/>
      <c r="M248" s="13" t="s">
        <v>2176</v>
      </c>
      <c r="N248" s="12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3" t="s">
        <v>2766</v>
      </c>
      <c r="AB248" s="13">
        <v>158</v>
      </c>
      <c r="AC248" s="13" t="s">
        <v>2346</v>
      </c>
      <c r="AD248" s="13" t="s">
        <v>285</v>
      </c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</row>
    <row r="249" spans="1:40" ht="20.100000000000001" customHeight="1">
      <c r="A249" s="11">
        <v>248</v>
      </c>
      <c r="B249" s="12" t="s">
        <v>38</v>
      </c>
      <c r="C249" s="12" t="s">
        <v>38</v>
      </c>
      <c r="D249" s="13" t="s">
        <v>2312</v>
      </c>
      <c r="E249" s="11"/>
      <c r="F249" s="12"/>
      <c r="G249" s="13" t="str">
        <f>"9781444395815"</f>
        <v>9781444395815</v>
      </c>
      <c r="H249" s="13" t="s">
        <v>1357</v>
      </c>
      <c r="I249" s="11" t="s">
        <v>2784</v>
      </c>
      <c r="J249" s="11"/>
      <c r="K249" s="11"/>
      <c r="L249" s="11"/>
      <c r="M249" s="13" t="s">
        <v>2176</v>
      </c>
      <c r="N249" s="12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3" t="s">
        <v>2766</v>
      </c>
      <c r="AB249" s="13">
        <v>304.2</v>
      </c>
      <c r="AC249" s="13" t="s">
        <v>2386</v>
      </c>
      <c r="AD249" s="13" t="s">
        <v>286</v>
      </c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</row>
    <row r="250" spans="1:40" ht="20.100000000000001" customHeight="1">
      <c r="A250" s="11">
        <v>249</v>
      </c>
      <c r="B250" s="12" t="s">
        <v>38</v>
      </c>
      <c r="C250" s="12" t="s">
        <v>38</v>
      </c>
      <c r="D250" s="13" t="s">
        <v>2312</v>
      </c>
      <c r="E250" s="11"/>
      <c r="F250" s="12"/>
      <c r="G250" s="13" t="str">
        <f>"9781444396669"</f>
        <v>9781444396669</v>
      </c>
      <c r="H250" s="13" t="s">
        <v>1358</v>
      </c>
      <c r="I250" s="11" t="s">
        <v>2784</v>
      </c>
      <c r="J250" s="11"/>
      <c r="K250" s="11"/>
      <c r="L250" s="11"/>
      <c r="M250" s="13" t="s">
        <v>2176</v>
      </c>
      <c r="N250" s="12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3" t="s">
        <v>2766</v>
      </c>
      <c r="AB250" s="13">
        <v>241</v>
      </c>
      <c r="AC250" s="13" t="s">
        <v>2387</v>
      </c>
      <c r="AD250" s="13" t="s">
        <v>287</v>
      </c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</row>
    <row r="251" spans="1:40" ht="20.100000000000001" customHeight="1">
      <c r="A251" s="11">
        <v>250</v>
      </c>
      <c r="B251" s="12" t="s">
        <v>38</v>
      </c>
      <c r="C251" s="12" t="s">
        <v>38</v>
      </c>
      <c r="D251" s="13" t="s">
        <v>2312</v>
      </c>
      <c r="E251" s="11"/>
      <c r="F251" s="12"/>
      <c r="G251" s="13" t="str">
        <f>"9781118019412"</f>
        <v>9781118019412</v>
      </c>
      <c r="H251" s="13" t="s">
        <v>1359</v>
      </c>
      <c r="I251" s="11" t="s">
        <v>2784</v>
      </c>
      <c r="J251" s="11"/>
      <c r="K251" s="11"/>
      <c r="L251" s="11"/>
      <c r="M251" s="13" t="s">
        <v>2176</v>
      </c>
      <c r="N251" s="12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3" t="s">
        <v>2766</v>
      </c>
      <c r="AB251" s="13">
        <v>657.2</v>
      </c>
      <c r="AC251" s="13" t="s">
        <v>2314</v>
      </c>
      <c r="AD251" s="13" t="s">
        <v>288</v>
      </c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</row>
    <row r="252" spans="1:40" ht="20.100000000000001" customHeight="1">
      <c r="A252" s="11">
        <v>251</v>
      </c>
      <c r="B252" s="12" t="s">
        <v>38</v>
      </c>
      <c r="C252" s="12" t="s">
        <v>38</v>
      </c>
      <c r="D252" s="13" t="s">
        <v>2312</v>
      </c>
      <c r="E252" s="11"/>
      <c r="F252" s="12"/>
      <c r="G252" s="13" t="str">
        <f>"9789888052028"</f>
        <v>9789888052028</v>
      </c>
      <c r="H252" s="13" t="s">
        <v>1360</v>
      </c>
      <c r="I252" s="11" t="s">
        <v>2778</v>
      </c>
      <c r="J252" s="11"/>
      <c r="K252" s="11"/>
      <c r="L252" s="11"/>
      <c r="M252" s="13" t="s">
        <v>2192</v>
      </c>
      <c r="N252" s="12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3" t="s">
        <v>2766</v>
      </c>
      <c r="AB252" s="13">
        <v>610.14</v>
      </c>
      <c r="AC252" s="13" t="s">
        <v>2328</v>
      </c>
      <c r="AD252" s="13" t="s">
        <v>289</v>
      </c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</row>
    <row r="253" spans="1:40" ht="20.100000000000001" customHeight="1">
      <c r="A253" s="11">
        <v>252</v>
      </c>
      <c r="B253" s="12" t="s">
        <v>38</v>
      </c>
      <c r="C253" s="12" t="s">
        <v>38</v>
      </c>
      <c r="D253" s="13" t="s">
        <v>2312</v>
      </c>
      <c r="E253" s="11"/>
      <c r="F253" s="12"/>
      <c r="G253" s="13" t="str">
        <f>"9780199720712"</f>
        <v>9780199720712</v>
      </c>
      <c r="H253" s="13" t="s">
        <v>1361</v>
      </c>
      <c r="I253" s="11" t="s">
        <v>2784</v>
      </c>
      <c r="J253" s="11"/>
      <c r="K253" s="11"/>
      <c r="L253" s="11"/>
      <c r="M253" s="13" t="s">
        <v>2188</v>
      </c>
      <c r="N253" s="12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3" t="s">
        <v>2766</v>
      </c>
      <c r="AB253" s="13" t="s">
        <v>2571</v>
      </c>
      <c r="AC253" s="13" t="s">
        <v>2330</v>
      </c>
      <c r="AD253" s="13" t="s">
        <v>290</v>
      </c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</row>
    <row r="254" spans="1:40" ht="20.100000000000001" customHeight="1">
      <c r="A254" s="11">
        <v>253</v>
      </c>
      <c r="B254" s="12" t="s">
        <v>38</v>
      </c>
      <c r="C254" s="12" t="s">
        <v>38</v>
      </c>
      <c r="D254" s="13" t="s">
        <v>2312</v>
      </c>
      <c r="E254" s="11"/>
      <c r="F254" s="12"/>
      <c r="G254" s="13" t="str">
        <f>"9780199774661"</f>
        <v>9780199774661</v>
      </c>
      <c r="H254" s="13" t="s">
        <v>1362</v>
      </c>
      <c r="I254" s="11" t="s">
        <v>2770</v>
      </c>
      <c r="J254" s="11"/>
      <c r="K254" s="11"/>
      <c r="L254" s="11"/>
      <c r="M254" s="13" t="s">
        <v>2188</v>
      </c>
      <c r="N254" s="12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3" t="s">
        <v>2766</v>
      </c>
      <c r="AB254" s="13" t="s">
        <v>2572</v>
      </c>
      <c r="AC254" s="13" t="s">
        <v>2334</v>
      </c>
      <c r="AD254" s="13" t="s">
        <v>291</v>
      </c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</row>
    <row r="255" spans="1:40" ht="20.100000000000001" customHeight="1">
      <c r="A255" s="11">
        <v>254</v>
      </c>
      <c r="B255" s="12" t="s">
        <v>38</v>
      </c>
      <c r="C255" s="12" t="s">
        <v>38</v>
      </c>
      <c r="D255" s="13" t="s">
        <v>2312</v>
      </c>
      <c r="E255" s="11"/>
      <c r="F255" s="12"/>
      <c r="G255" s="13" t="str">
        <f>"9780786462155"</f>
        <v>9780786462155</v>
      </c>
      <c r="H255" s="13" t="s">
        <v>1363</v>
      </c>
      <c r="I255" s="11" t="s">
        <v>2784</v>
      </c>
      <c r="J255" s="11"/>
      <c r="K255" s="11"/>
      <c r="L255" s="11"/>
      <c r="M255" s="13" t="s">
        <v>2187</v>
      </c>
      <c r="N255" s="12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3" t="s">
        <v>2766</v>
      </c>
      <c r="AB255" s="13">
        <v>364.66097680000001</v>
      </c>
      <c r="AC255" s="13" t="s">
        <v>2318</v>
      </c>
      <c r="AD255" s="13" t="s">
        <v>292</v>
      </c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</row>
    <row r="256" spans="1:40" ht="20.100000000000001" customHeight="1">
      <c r="A256" s="11">
        <v>255</v>
      </c>
      <c r="B256" s="12" t="s">
        <v>38</v>
      </c>
      <c r="C256" s="12" t="s">
        <v>38</v>
      </c>
      <c r="D256" s="13" t="s">
        <v>2312</v>
      </c>
      <c r="E256" s="11"/>
      <c r="F256" s="12"/>
      <c r="G256" s="13" t="str">
        <f>"9780786486434"</f>
        <v>9780786486434</v>
      </c>
      <c r="H256" s="13" t="s">
        <v>1364</v>
      </c>
      <c r="I256" s="11" t="s">
        <v>2784</v>
      </c>
      <c r="J256" s="11"/>
      <c r="K256" s="11"/>
      <c r="L256" s="11"/>
      <c r="M256" s="13" t="s">
        <v>2187</v>
      </c>
      <c r="N256" s="12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3" t="s">
        <v>2766</v>
      </c>
      <c r="AB256" s="13">
        <v>759.13</v>
      </c>
      <c r="AC256" s="13" t="s">
        <v>2315</v>
      </c>
      <c r="AD256" s="13" t="s">
        <v>293</v>
      </c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</row>
    <row r="257" spans="1:40" ht="20.100000000000001" customHeight="1">
      <c r="A257" s="11">
        <v>256</v>
      </c>
      <c r="B257" s="12" t="s">
        <v>38</v>
      </c>
      <c r="C257" s="12" t="s">
        <v>38</v>
      </c>
      <c r="D257" s="13" t="s">
        <v>2312</v>
      </c>
      <c r="E257" s="11"/>
      <c r="F257" s="12"/>
      <c r="G257" s="13" t="str">
        <f>"9780786485406"</f>
        <v>9780786485406</v>
      </c>
      <c r="H257" s="13" t="s">
        <v>1365</v>
      </c>
      <c r="I257" s="11" t="s">
        <v>2784</v>
      </c>
      <c r="J257" s="11"/>
      <c r="K257" s="11"/>
      <c r="L257" s="11"/>
      <c r="M257" s="13" t="s">
        <v>2187</v>
      </c>
      <c r="N257" s="12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3" t="s">
        <v>2766</v>
      </c>
      <c r="AB257" s="13">
        <v>394.26459999999997</v>
      </c>
      <c r="AC257" s="13" t="s">
        <v>2318</v>
      </c>
      <c r="AD257" s="13" t="s">
        <v>294</v>
      </c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</row>
    <row r="258" spans="1:40" ht="20.100000000000001" customHeight="1">
      <c r="A258" s="11">
        <v>257</v>
      </c>
      <c r="B258" s="12" t="s">
        <v>38</v>
      </c>
      <c r="C258" s="12" t="s">
        <v>38</v>
      </c>
      <c r="D258" s="13" t="s">
        <v>2312</v>
      </c>
      <c r="E258" s="11"/>
      <c r="F258" s="12"/>
      <c r="G258" s="13" t="str">
        <f>"9780786486120"</f>
        <v>9780786486120</v>
      </c>
      <c r="H258" s="13" t="s">
        <v>1366</v>
      </c>
      <c r="I258" s="11" t="s">
        <v>2784</v>
      </c>
      <c r="J258" s="11"/>
      <c r="K258" s="11"/>
      <c r="L258" s="11"/>
      <c r="M258" s="13" t="s">
        <v>2187</v>
      </c>
      <c r="N258" s="12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3" t="s">
        <v>2766</v>
      </c>
      <c r="AB258" s="13" t="s">
        <v>2573</v>
      </c>
      <c r="AC258" s="13" t="s">
        <v>2315</v>
      </c>
      <c r="AD258" s="13" t="s">
        <v>295</v>
      </c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</row>
    <row r="259" spans="1:40" ht="20.100000000000001" customHeight="1">
      <c r="A259" s="11">
        <v>258</v>
      </c>
      <c r="B259" s="12" t="s">
        <v>38</v>
      </c>
      <c r="C259" s="12" t="s">
        <v>38</v>
      </c>
      <c r="D259" s="13" t="s">
        <v>2312</v>
      </c>
      <c r="E259" s="11"/>
      <c r="F259" s="12"/>
      <c r="G259" s="13" t="str">
        <f>"9780786485468"</f>
        <v>9780786485468</v>
      </c>
      <c r="H259" s="13" t="s">
        <v>1367</v>
      </c>
      <c r="I259" s="11" t="s">
        <v>2784</v>
      </c>
      <c r="J259" s="11"/>
      <c r="K259" s="11"/>
      <c r="L259" s="11"/>
      <c r="M259" s="13" t="s">
        <v>2187</v>
      </c>
      <c r="N259" s="12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3" t="s">
        <v>2766</v>
      </c>
      <c r="AB259" s="13">
        <v>813.54</v>
      </c>
      <c r="AC259" s="13" t="s">
        <v>2313</v>
      </c>
      <c r="AD259" s="13" t="s">
        <v>296</v>
      </c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</row>
    <row r="260" spans="1:40" ht="20.100000000000001" customHeight="1">
      <c r="A260" s="11">
        <v>259</v>
      </c>
      <c r="B260" s="12" t="s">
        <v>38</v>
      </c>
      <c r="C260" s="12" t="s">
        <v>38</v>
      </c>
      <c r="D260" s="13" t="s">
        <v>2312</v>
      </c>
      <c r="E260" s="11"/>
      <c r="F260" s="12"/>
      <c r="G260" s="13" t="str">
        <f>"9780199749829"</f>
        <v>9780199749829</v>
      </c>
      <c r="H260" s="13" t="s">
        <v>1368</v>
      </c>
      <c r="I260" s="11" t="s">
        <v>2784</v>
      </c>
      <c r="J260" s="11"/>
      <c r="K260" s="11"/>
      <c r="L260" s="11"/>
      <c r="M260" s="13" t="s">
        <v>2188</v>
      </c>
      <c r="N260" s="12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3" t="s">
        <v>2766</v>
      </c>
      <c r="AB260" s="13" t="s">
        <v>2574</v>
      </c>
      <c r="AC260" s="13" t="s">
        <v>2388</v>
      </c>
      <c r="AD260" s="13" t="s">
        <v>297</v>
      </c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</row>
    <row r="261" spans="1:40" ht="20.100000000000001" customHeight="1">
      <c r="A261" s="11">
        <v>260</v>
      </c>
      <c r="B261" s="12" t="s">
        <v>38</v>
      </c>
      <c r="C261" s="12" t="s">
        <v>38</v>
      </c>
      <c r="D261" s="13" t="s">
        <v>2312</v>
      </c>
      <c r="E261" s="11"/>
      <c r="F261" s="12"/>
      <c r="G261" s="13" t="str">
        <f>"9781446209608"</f>
        <v>9781446209608</v>
      </c>
      <c r="H261" s="13" t="s">
        <v>1369</v>
      </c>
      <c r="I261" s="11" t="s">
        <v>2784</v>
      </c>
      <c r="J261" s="11"/>
      <c r="K261" s="11"/>
      <c r="L261" s="11"/>
      <c r="M261" s="13" t="s">
        <v>2180</v>
      </c>
      <c r="N261" s="12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3" t="s">
        <v>2766</v>
      </c>
      <c r="AB261" s="13">
        <v>658.00720999999999</v>
      </c>
      <c r="AC261" s="13" t="s">
        <v>2314</v>
      </c>
      <c r="AD261" s="13" t="s">
        <v>298</v>
      </c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</row>
    <row r="262" spans="1:40" ht="20.100000000000001" customHeight="1">
      <c r="A262" s="11">
        <v>261</v>
      </c>
      <c r="B262" s="12" t="s">
        <v>38</v>
      </c>
      <c r="C262" s="12" t="s">
        <v>38</v>
      </c>
      <c r="D262" s="13" t="s">
        <v>2312</v>
      </c>
      <c r="E262" s="11"/>
      <c r="F262" s="12"/>
      <c r="G262" s="13" t="str">
        <f>"9781444396324"</f>
        <v>9781444396324</v>
      </c>
      <c r="H262" s="13" t="s">
        <v>1370</v>
      </c>
      <c r="I262" s="11" t="s">
        <v>2784</v>
      </c>
      <c r="J262" s="11"/>
      <c r="K262" s="11"/>
      <c r="L262" s="11"/>
      <c r="M262" s="13" t="s">
        <v>2176</v>
      </c>
      <c r="N262" s="12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3" t="s">
        <v>2766</v>
      </c>
      <c r="AB262" s="13">
        <v>709.5</v>
      </c>
      <c r="AC262" s="13" t="s">
        <v>2315</v>
      </c>
      <c r="AD262" s="13" t="s">
        <v>299</v>
      </c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</row>
    <row r="263" spans="1:40" ht="20.100000000000001" customHeight="1">
      <c r="A263" s="11">
        <v>262</v>
      </c>
      <c r="B263" s="12" t="s">
        <v>38</v>
      </c>
      <c r="C263" s="12" t="s">
        <v>38</v>
      </c>
      <c r="D263" s="13" t="s">
        <v>2312</v>
      </c>
      <c r="E263" s="11"/>
      <c r="F263" s="12"/>
      <c r="G263" s="13" t="str">
        <f>"9780191604294"</f>
        <v>9780191604294</v>
      </c>
      <c r="H263" s="13" t="s">
        <v>1371</v>
      </c>
      <c r="I263" s="11" t="s">
        <v>2784</v>
      </c>
      <c r="J263" s="11"/>
      <c r="K263" s="11"/>
      <c r="L263" s="11"/>
      <c r="M263" s="13" t="s">
        <v>2188</v>
      </c>
      <c r="N263" s="12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3" t="s">
        <v>2766</v>
      </c>
      <c r="AB263" s="13">
        <v>530.12090000000001</v>
      </c>
      <c r="AC263" s="13" t="s">
        <v>2324</v>
      </c>
      <c r="AD263" s="13" t="s">
        <v>300</v>
      </c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</row>
    <row r="264" spans="1:40" ht="20.100000000000001" customHeight="1">
      <c r="A264" s="11">
        <v>263</v>
      </c>
      <c r="B264" s="12" t="s">
        <v>38</v>
      </c>
      <c r="C264" s="12" t="s">
        <v>38</v>
      </c>
      <c r="D264" s="13" t="s">
        <v>2312</v>
      </c>
      <c r="E264" s="11"/>
      <c r="F264" s="12"/>
      <c r="G264" s="13" t="str">
        <f>"9781118115909"</f>
        <v>9781118115909</v>
      </c>
      <c r="H264" s="13" t="s">
        <v>1372</v>
      </c>
      <c r="I264" s="11" t="s">
        <v>2784</v>
      </c>
      <c r="J264" s="11"/>
      <c r="K264" s="11"/>
      <c r="L264" s="11"/>
      <c r="M264" s="13" t="s">
        <v>2176</v>
      </c>
      <c r="N264" s="12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3" t="s">
        <v>2766</v>
      </c>
      <c r="AB264" s="13" t="s">
        <v>2575</v>
      </c>
      <c r="AC264" s="13" t="s">
        <v>2365</v>
      </c>
      <c r="AD264" s="13" t="s">
        <v>301</v>
      </c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</row>
    <row r="265" spans="1:40" ht="20.100000000000001" customHeight="1">
      <c r="A265" s="11">
        <v>264</v>
      </c>
      <c r="B265" s="12" t="s">
        <v>38</v>
      </c>
      <c r="C265" s="12" t="s">
        <v>38</v>
      </c>
      <c r="D265" s="13" t="s">
        <v>2312</v>
      </c>
      <c r="E265" s="11"/>
      <c r="F265" s="12"/>
      <c r="G265" s="13" t="str">
        <f>"9781119998563"</f>
        <v>9781119998563</v>
      </c>
      <c r="H265" s="13" t="s">
        <v>1373</v>
      </c>
      <c r="I265" s="11" t="s">
        <v>2784</v>
      </c>
      <c r="J265" s="11"/>
      <c r="K265" s="11"/>
      <c r="L265" s="11"/>
      <c r="M265" s="13" t="s">
        <v>2176</v>
      </c>
      <c r="N265" s="12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3" t="s">
        <v>2766</v>
      </c>
      <c r="AB265" s="13">
        <v>616.85844499999996</v>
      </c>
      <c r="AC265" s="13" t="s">
        <v>2389</v>
      </c>
      <c r="AD265" s="13" t="s">
        <v>302</v>
      </c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</row>
    <row r="266" spans="1:40" ht="20.100000000000001" customHeight="1">
      <c r="A266" s="11">
        <v>265</v>
      </c>
      <c r="B266" s="12" t="s">
        <v>38</v>
      </c>
      <c r="C266" s="12" t="s">
        <v>38</v>
      </c>
      <c r="D266" s="13" t="s">
        <v>2312</v>
      </c>
      <c r="E266" s="11"/>
      <c r="F266" s="12"/>
      <c r="G266" s="13" t="str">
        <f>"9781444342468"</f>
        <v>9781444342468</v>
      </c>
      <c r="H266" s="13" t="s">
        <v>1374</v>
      </c>
      <c r="I266" s="11" t="s">
        <v>2784</v>
      </c>
      <c r="J266" s="11"/>
      <c r="K266" s="11"/>
      <c r="L266" s="11"/>
      <c r="M266" s="13" t="s">
        <v>2176</v>
      </c>
      <c r="N266" s="12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3" t="s">
        <v>2766</v>
      </c>
      <c r="AB266" s="13">
        <v>599.93803000000003</v>
      </c>
      <c r="AC266" s="13" t="s">
        <v>2378</v>
      </c>
      <c r="AD266" s="13" t="s">
        <v>303</v>
      </c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</row>
    <row r="267" spans="1:40" ht="20.100000000000001" customHeight="1">
      <c r="A267" s="11">
        <v>266</v>
      </c>
      <c r="B267" s="12" t="s">
        <v>38</v>
      </c>
      <c r="C267" s="12" t="s">
        <v>38</v>
      </c>
      <c r="D267" s="13" t="s">
        <v>2312</v>
      </c>
      <c r="E267" s="11"/>
      <c r="F267" s="12"/>
      <c r="G267" s="13" t="str">
        <f>"9781444395723"</f>
        <v>9781444395723</v>
      </c>
      <c r="H267" s="13" t="s">
        <v>1375</v>
      </c>
      <c r="I267" s="11" t="s">
        <v>2784</v>
      </c>
      <c r="J267" s="11"/>
      <c r="K267" s="11"/>
      <c r="L267" s="11"/>
      <c r="M267" s="13" t="s">
        <v>2176</v>
      </c>
      <c r="N267" s="12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3" t="s">
        <v>2766</v>
      </c>
      <c r="AB267" s="13" t="s">
        <v>2576</v>
      </c>
      <c r="AC267" s="13" t="s">
        <v>2323</v>
      </c>
      <c r="AD267" s="13" t="s">
        <v>304</v>
      </c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</row>
    <row r="268" spans="1:40" ht="20.100000000000001" customHeight="1">
      <c r="A268" s="11">
        <v>267</v>
      </c>
      <c r="B268" s="12" t="s">
        <v>38</v>
      </c>
      <c r="C268" s="12" t="s">
        <v>38</v>
      </c>
      <c r="D268" s="13" t="s">
        <v>2312</v>
      </c>
      <c r="E268" s="11"/>
      <c r="F268" s="12"/>
      <c r="G268" s="13" t="str">
        <f>"9781118779064"</f>
        <v>9781118779064</v>
      </c>
      <c r="H268" s="13" t="s">
        <v>1376</v>
      </c>
      <c r="I268" s="11" t="s">
        <v>2784</v>
      </c>
      <c r="J268" s="11"/>
      <c r="K268" s="11"/>
      <c r="L268" s="11"/>
      <c r="M268" s="13" t="s">
        <v>2176</v>
      </c>
      <c r="N268" s="12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3" t="s">
        <v>2766</v>
      </c>
      <c r="AB268" s="13" t="s">
        <v>2577</v>
      </c>
      <c r="AC268" s="13" t="s">
        <v>2313</v>
      </c>
      <c r="AD268" s="13" t="s">
        <v>305</v>
      </c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</row>
    <row r="269" spans="1:40" ht="20.100000000000001" customHeight="1">
      <c r="A269" s="11">
        <v>268</v>
      </c>
      <c r="B269" s="12" t="s">
        <v>38</v>
      </c>
      <c r="C269" s="12" t="s">
        <v>38</v>
      </c>
      <c r="D269" s="13" t="s">
        <v>2312</v>
      </c>
      <c r="E269" s="11"/>
      <c r="F269" s="12"/>
      <c r="G269" s="13" t="str">
        <f>"9781444395754"</f>
        <v>9781444395754</v>
      </c>
      <c r="H269" s="13" t="s">
        <v>1377</v>
      </c>
      <c r="I269" s="11" t="s">
        <v>2784</v>
      </c>
      <c r="J269" s="11"/>
      <c r="K269" s="11"/>
      <c r="L269" s="11"/>
      <c r="M269" s="13" t="s">
        <v>2176</v>
      </c>
      <c r="N269" s="12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3" t="s">
        <v>2766</v>
      </c>
      <c r="AB269" s="13" t="s">
        <v>2578</v>
      </c>
      <c r="AC269" s="13" t="s">
        <v>2323</v>
      </c>
      <c r="AD269" s="13" t="s">
        <v>306</v>
      </c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</row>
    <row r="270" spans="1:40" ht="20.100000000000001" customHeight="1">
      <c r="A270" s="11">
        <v>269</v>
      </c>
      <c r="B270" s="12" t="s">
        <v>38</v>
      </c>
      <c r="C270" s="12" t="s">
        <v>38</v>
      </c>
      <c r="D270" s="13" t="s">
        <v>2312</v>
      </c>
      <c r="E270" s="11"/>
      <c r="F270" s="12"/>
      <c r="G270" s="13" t="str">
        <f>"9780470949184"</f>
        <v>9780470949184</v>
      </c>
      <c r="H270" s="13" t="s">
        <v>1378</v>
      </c>
      <c r="I270" s="11" t="s">
        <v>2784</v>
      </c>
      <c r="J270" s="11"/>
      <c r="K270" s="11"/>
      <c r="L270" s="11"/>
      <c r="M270" s="13" t="s">
        <v>2176</v>
      </c>
      <c r="N270" s="12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3" t="s">
        <v>2766</v>
      </c>
      <c r="AB270" s="13">
        <v>808.04200000000003</v>
      </c>
      <c r="AC270" s="13" t="s">
        <v>2313</v>
      </c>
      <c r="AD270" s="13" t="s">
        <v>307</v>
      </c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</row>
    <row r="271" spans="1:40" ht="20.100000000000001" customHeight="1">
      <c r="A271" s="11">
        <v>270</v>
      </c>
      <c r="B271" s="12" t="s">
        <v>38</v>
      </c>
      <c r="C271" s="12" t="s">
        <v>38</v>
      </c>
      <c r="D271" s="13" t="s">
        <v>2312</v>
      </c>
      <c r="E271" s="11"/>
      <c r="F271" s="12"/>
      <c r="G271" s="13" t="str">
        <f>"9781118001356"</f>
        <v>9781118001356</v>
      </c>
      <c r="H271" s="13" t="s">
        <v>1379</v>
      </c>
      <c r="I271" s="11" t="s">
        <v>2784</v>
      </c>
      <c r="J271" s="11"/>
      <c r="K271" s="11"/>
      <c r="L271" s="11"/>
      <c r="M271" s="13" t="s">
        <v>2176</v>
      </c>
      <c r="N271" s="12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3" t="s">
        <v>2766</v>
      </c>
      <c r="AB271" s="13">
        <v>428.00711999999999</v>
      </c>
      <c r="AC271" s="13" t="s">
        <v>2390</v>
      </c>
      <c r="AD271" s="13" t="s">
        <v>308</v>
      </c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</row>
    <row r="272" spans="1:40" ht="20.100000000000001" customHeight="1">
      <c r="A272" s="11">
        <v>271</v>
      </c>
      <c r="B272" s="12" t="s">
        <v>38</v>
      </c>
      <c r="C272" s="12" t="s">
        <v>38</v>
      </c>
      <c r="D272" s="13" t="s">
        <v>2312</v>
      </c>
      <c r="E272" s="11"/>
      <c r="F272" s="12"/>
      <c r="G272" s="13" t="str">
        <f>"9781119996019"</f>
        <v>9781119996019</v>
      </c>
      <c r="H272" s="13" t="s">
        <v>1380</v>
      </c>
      <c r="I272" s="11" t="s">
        <v>2785</v>
      </c>
      <c r="J272" s="11"/>
      <c r="K272" s="11"/>
      <c r="L272" s="11"/>
      <c r="M272" s="13" t="s">
        <v>2176</v>
      </c>
      <c r="N272" s="12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3" t="s">
        <v>2766</v>
      </c>
      <c r="AB272" s="13">
        <v>808.06637799999999</v>
      </c>
      <c r="AC272" s="13" t="s">
        <v>2391</v>
      </c>
      <c r="AD272" s="13" t="s">
        <v>309</v>
      </c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</row>
    <row r="273" spans="1:40" ht="20.100000000000001" customHeight="1">
      <c r="A273" s="11">
        <v>272</v>
      </c>
      <c r="B273" s="12" t="s">
        <v>38</v>
      </c>
      <c r="C273" s="12" t="s">
        <v>38</v>
      </c>
      <c r="D273" s="13" t="s">
        <v>2312</v>
      </c>
      <c r="E273" s="11"/>
      <c r="F273" s="12"/>
      <c r="G273" s="13" t="str">
        <f>"9780199876785"</f>
        <v>9780199876785</v>
      </c>
      <c r="H273" s="13" t="s">
        <v>1381</v>
      </c>
      <c r="I273" s="11" t="s">
        <v>2784</v>
      </c>
      <c r="J273" s="11"/>
      <c r="K273" s="11"/>
      <c r="L273" s="11"/>
      <c r="M273" s="13" t="s">
        <v>2188</v>
      </c>
      <c r="N273" s="12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3" t="s">
        <v>2766</v>
      </c>
      <c r="AB273" s="13">
        <v>616.79999999999995</v>
      </c>
      <c r="AC273" s="13" t="s">
        <v>2328</v>
      </c>
      <c r="AD273" s="13" t="s">
        <v>310</v>
      </c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</row>
    <row r="274" spans="1:40" ht="20.100000000000001" customHeight="1">
      <c r="A274" s="11">
        <v>273</v>
      </c>
      <c r="B274" s="12" t="s">
        <v>38</v>
      </c>
      <c r="C274" s="12" t="s">
        <v>38</v>
      </c>
      <c r="D274" s="13" t="s">
        <v>2312</v>
      </c>
      <c r="E274" s="11"/>
      <c r="F274" s="12"/>
      <c r="G274" s="13" t="str">
        <f>"9789004190085"</f>
        <v>9789004190085</v>
      </c>
      <c r="H274" s="13" t="s">
        <v>1382</v>
      </c>
      <c r="I274" s="11" t="s">
        <v>2783</v>
      </c>
      <c r="J274" s="11"/>
      <c r="K274" s="11"/>
      <c r="L274" s="11"/>
      <c r="M274" s="13" t="s">
        <v>2184</v>
      </c>
      <c r="N274" s="12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3" t="s">
        <v>2766</v>
      </c>
      <c r="AB274" s="13" t="s">
        <v>2579</v>
      </c>
      <c r="AC274" s="13" t="s">
        <v>2345</v>
      </c>
      <c r="AD274" s="13" t="s">
        <v>311</v>
      </c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</row>
    <row r="275" spans="1:40" ht="20.100000000000001" customHeight="1">
      <c r="A275" s="11">
        <v>274</v>
      </c>
      <c r="B275" s="12" t="s">
        <v>38</v>
      </c>
      <c r="C275" s="12" t="s">
        <v>38</v>
      </c>
      <c r="D275" s="13" t="s">
        <v>2312</v>
      </c>
      <c r="E275" s="11"/>
      <c r="F275" s="12"/>
      <c r="G275" s="13" t="str">
        <f>"9781615305773"</f>
        <v>9781615305773</v>
      </c>
      <c r="H275" s="13" t="s">
        <v>1383</v>
      </c>
      <c r="I275" s="11" t="s">
        <v>2784</v>
      </c>
      <c r="J275" s="11"/>
      <c r="K275" s="11"/>
      <c r="L275" s="11"/>
      <c r="M275" s="13" t="s">
        <v>2191</v>
      </c>
      <c r="N275" s="12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3" t="s">
        <v>2766</v>
      </c>
      <c r="AB275" s="13">
        <v>796.32299999999998</v>
      </c>
      <c r="AC275" s="13" t="s">
        <v>2338</v>
      </c>
      <c r="AD275" s="13" t="s">
        <v>312</v>
      </c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</row>
    <row r="276" spans="1:40" ht="20.100000000000001" customHeight="1">
      <c r="A276" s="11">
        <v>275</v>
      </c>
      <c r="B276" s="12" t="s">
        <v>38</v>
      </c>
      <c r="C276" s="12" t="s">
        <v>38</v>
      </c>
      <c r="D276" s="13" t="s">
        <v>2312</v>
      </c>
      <c r="E276" s="11"/>
      <c r="F276" s="12"/>
      <c r="G276" s="13" t="str">
        <f>"9781615305414"</f>
        <v>9781615305414</v>
      </c>
      <c r="H276" s="13" t="s">
        <v>1384</v>
      </c>
      <c r="I276" s="11" t="s">
        <v>2784</v>
      </c>
      <c r="J276" s="11"/>
      <c r="K276" s="11"/>
      <c r="L276" s="11"/>
      <c r="M276" s="13" t="s">
        <v>2191</v>
      </c>
      <c r="N276" s="12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3" t="s">
        <v>2766</v>
      </c>
      <c r="AB276" s="13">
        <v>552</v>
      </c>
      <c r="AC276" s="13" t="s">
        <v>2392</v>
      </c>
      <c r="AD276" s="13" t="s">
        <v>313</v>
      </c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</row>
    <row r="277" spans="1:40" ht="20.100000000000001" customHeight="1">
      <c r="A277" s="11">
        <v>276</v>
      </c>
      <c r="B277" s="12" t="s">
        <v>38</v>
      </c>
      <c r="C277" s="12" t="s">
        <v>38</v>
      </c>
      <c r="D277" s="13" t="s">
        <v>2312</v>
      </c>
      <c r="E277" s="11"/>
      <c r="F277" s="12"/>
      <c r="G277" s="13" t="str">
        <f>"9780191576706"</f>
        <v>9780191576706</v>
      </c>
      <c r="H277" s="13" t="s">
        <v>1385</v>
      </c>
      <c r="I277" s="11" t="s">
        <v>2784</v>
      </c>
      <c r="J277" s="11"/>
      <c r="K277" s="11"/>
      <c r="L277" s="11"/>
      <c r="M277" s="13" t="s">
        <v>2188</v>
      </c>
      <c r="N277" s="12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3" t="s">
        <v>2766</v>
      </c>
      <c r="AB277" s="13">
        <v>170</v>
      </c>
      <c r="AC277" s="13" t="s">
        <v>2325</v>
      </c>
      <c r="AD277" s="13" t="s">
        <v>314</v>
      </c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</row>
    <row r="278" spans="1:40" ht="20.100000000000001" customHeight="1">
      <c r="A278" s="11">
        <v>277</v>
      </c>
      <c r="B278" s="12" t="s">
        <v>38</v>
      </c>
      <c r="C278" s="12" t="s">
        <v>38</v>
      </c>
      <c r="D278" s="13" t="s">
        <v>2312</v>
      </c>
      <c r="E278" s="11"/>
      <c r="F278" s="12"/>
      <c r="G278" s="13" t="str">
        <f>"9780191576713"</f>
        <v>9780191576713</v>
      </c>
      <c r="H278" s="13" t="s">
        <v>1386</v>
      </c>
      <c r="I278" s="11" t="s">
        <v>2784</v>
      </c>
      <c r="J278" s="11"/>
      <c r="K278" s="11"/>
      <c r="L278" s="11"/>
      <c r="M278" s="13" t="s">
        <v>2188</v>
      </c>
      <c r="N278" s="12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3" t="s">
        <v>2766</v>
      </c>
      <c r="AB278" s="13">
        <v>170</v>
      </c>
      <c r="AC278" s="13" t="s">
        <v>2325</v>
      </c>
      <c r="AD278" s="13" t="s">
        <v>315</v>
      </c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</row>
    <row r="279" spans="1:40" ht="20.100000000000001" customHeight="1">
      <c r="A279" s="11">
        <v>278</v>
      </c>
      <c r="B279" s="12" t="s">
        <v>38</v>
      </c>
      <c r="C279" s="12" t="s">
        <v>38</v>
      </c>
      <c r="D279" s="13" t="s">
        <v>2312</v>
      </c>
      <c r="E279" s="11"/>
      <c r="F279" s="12"/>
      <c r="G279" s="13" t="str">
        <f>"9780199842513"</f>
        <v>9780199842513</v>
      </c>
      <c r="H279" s="13" t="s">
        <v>1387</v>
      </c>
      <c r="I279" s="11" t="s">
        <v>2784</v>
      </c>
      <c r="J279" s="11"/>
      <c r="K279" s="11"/>
      <c r="L279" s="11"/>
      <c r="M279" s="13" t="s">
        <v>2188</v>
      </c>
      <c r="N279" s="12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3" t="s">
        <v>2766</v>
      </c>
      <c r="AB279" s="13">
        <v>618.91999999999996</v>
      </c>
      <c r="AC279" s="13" t="s">
        <v>2327</v>
      </c>
      <c r="AD279" s="13" t="s">
        <v>316</v>
      </c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</row>
    <row r="280" spans="1:40" ht="20.100000000000001" customHeight="1">
      <c r="A280" s="11">
        <v>279</v>
      </c>
      <c r="B280" s="12" t="s">
        <v>38</v>
      </c>
      <c r="C280" s="12" t="s">
        <v>38</v>
      </c>
      <c r="D280" s="13" t="s">
        <v>2312</v>
      </c>
      <c r="E280" s="11"/>
      <c r="F280" s="12"/>
      <c r="G280" s="13" t="str">
        <f>"9789812836069"</f>
        <v>9789812836069</v>
      </c>
      <c r="H280" s="13" t="s">
        <v>1388</v>
      </c>
      <c r="I280" s="11" t="s">
        <v>2783</v>
      </c>
      <c r="J280" s="11"/>
      <c r="K280" s="11"/>
      <c r="L280" s="11"/>
      <c r="M280" s="13" t="s">
        <v>2193</v>
      </c>
      <c r="N280" s="12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3" t="s">
        <v>2766</v>
      </c>
      <c r="AB280" s="13">
        <v>658.40380110000001</v>
      </c>
      <c r="AC280" s="13" t="s">
        <v>2314</v>
      </c>
      <c r="AD280" s="13" t="s">
        <v>317</v>
      </c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</row>
    <row r="281" spans="1:40" ht="20.100000000000001" customHeight="1">
      <c r="A281" s="11">
        <v>280</v>
      </c>
      <c r="B281" s="12" t="s">
        <v>38</v>
      </c>
      <c r="C281" s="12" t="s">
        <v>38</v>
      </c>
      <c r="D281" s="13" t="s">
        <v>2312</v>
      </c>
      <c r="E281" s="11"/>
      <c r="F281" s="12"/>
      <c r="G281" s="13" t="str">
        <f>"9781615355167"</f>
        <v>9781615355167</v>
      </c>
      <c r="H281" s="13" t="s">
        <v>1389</v>
      </c>
      <c r="I281" s="11" t="s">
        <v>2784</v>
      </c>
      <c r="J281" s="11"/>
      <c r="K281" s="11"/>
      <c r="L281" s="11"/>
      <c r="M281" s="13" t="s">
        <v>2182</v>
      </c>
      <c r="N281" s="12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3" t="s">
        <v>2767</v>
      </c>
      <c r="AB281" s="13">
        <v>31</v>
      </c>
      <c r="AC281" s="13" t="s">
        <v>2354</v>
      </c>
      <c r="AD281" s="13" t="s">
        <v>318</v>
      </c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</row>
    <row r="282" spans="1:40" ht="20.100000000000001" customHeight="1">
      <c r="A282" s="11">
        <v>281</v>
      </c>
      <c r="B282" s="12" t="s">
        <v>38</v>
      </c>
      <c r="C282" s="12" t="s">
        <v>38</v>
      </c>
      <c r="D282" s="13" t="s">
        <v>2312</v>
      </c>
      <c r="E282" s="11"/>
      <c r="F282" s="12"/>
      <c r="G282" s="13" t="str">
        <f>"9780199830763"</f>
        <v>9780199830763</v>
      </c>
      <c r="H282" s="13" t="s">
        <v>1390</v>
      </c>
      <c r="I282" s="11" t="s">
        <v>2784</v>
      </c>
      <c r="J282" s="11"/>
      <c r="K282" s="11"/>
      <c r="L282" s="11"/>
      <c r="M282" s="13" t="s">
        <v>2188</v>
      </c>
      <c r="N282" s="12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3" t="s">
        <v>2766</v>
      </c>
      <c r="AB282" s="13">
        <v>616.07539999999995</v>
      </c>
      <c r="AC282" s="13" t="s">
        <v>2328</v>
      </c>
      <c r="AD282" s="13" t="s">
        <v>319</v>
      </c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</row>
    <row r="283" spans="1:40" ht="20.100000000000001" customHeight="1">
      <c r="A283" s="11">
        <v>282</v>
      </c>
      <c r="B283" s="12" t="s">
        <v>38</v>
      </c>
      <c r="C283" s="12" t="s">
        <v>38</v>
      </c>
      <c r="D283" s="13" t="s">
        <v>2312</v>
      </c>
      <c r="E283" s="11"/>
      <c r="F283" s="12"/>
      <c r="G283" s="13" t="str">
        <f>"9780199830497"</f>
        <v>9780199830497</v>
      </c>
      <c r="H283" s="13" t="s">
        <v>1391</v>
      </c>
      <c r="I283" s="11" t="s">
        <v>2784</v>
      </c>
      <c r="J283" s="11"/>
      <c r="K283" s="11"/>
      <c r="L283" s="11"/>
      <c r="M283" s="13" t="s">
        <v>2188</v>
      </c>
      <c r="N283" s="12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3" t="s">
        <v>2766</v>
      </c>
      <c r="AB283" s="13" t="s">
        <v>2508</v>
      </c>
      <c r="AC283" s="13" t="s">
        <v>2324</v>
      </c>
      <c r="AD283" s="13" t="s">
        <v>320</v>
      </c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</row>
    <row r="284" spans="1:40" ht="20.100000000000001" customHeight="1">
      <c r="A284" s="11">
        <v>283</v>
      </c>
      <c r="B284" s="12" t="s">
        <v>38</v>
      </c>
      <c r="C284" s="12" t="s">
        <v>38</v>
      </c>
      <c r="D284" s="13" t="s">
        <v>2312</v>
      </c>
      <c r="E284" s="11"/>
      <c r="F284" s="12"/>
      <c r="G284" s="13" t="str">
        <f>"9780199782277"</f>
        <v>9780199782277</v>
      </c>
      <c r="H284" s="13" t="s">
        <v>1392</v>
      </c>
      <c r="I284" s="11" t="s">
        <v>2784</v>
      </c>
      <c r="J284" s="11"/>
      <c r="K284" s="11"/>
      <c r="L284" s="11"/>
      <c r="M284" s="13" t="s">
        <v>2188</v>
      </c>
      <c r="N284" s="12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3" t="s">
        <v>2766</v>
      </c>
      <c r="AB284" s="13">
        <v>972</v>
      </c>
      <c r="AC284" s="13" t="s">
        <v>2393</v>
      </c>
      <c r="AD284" s="13" t="s">
        <v>321</v>
      </c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</row>
    <row r="285" spans="1:40" ht="20.100000000000001" customHeight="1">
      <c r="A285" s="11">
        <v>284</v>
      </c>
      <c r="B285" s="12" t="s">
        <v>38</v>
      </c>
      <c r="C285" s="12" t="s">
        <v>38</v>
      </c>
      <c r="D285" s="13" t="s">
        <v>2312</v>
      </c>
      <c r="E285" s="11"/>
      <c r="F285" s="12"/>
      <c r="G285" s="13" t="str">
        <f>"9780191573279"</f>
        <v>9780191573279</v>
      </c>
      <c r="H285" s="13" t="s">
        <v>1393</v>
      </c>
      <c r="I285" s="11" t="s">
        <v>2784</v>
      </c>
      <c r="J285" s="11"/>
      <c r="K285" s="11"/>
      <c r="L285" s="11"/>
      <c r="M285" s="13" t="s">
        <v>2188</v>
      </c>
      <c r="N285" s="12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3" t="s">
        <v>2766</v>
      </c>
      <c r="AB285" s="13" t="s">
        <v>2580</v>
      </c>
      <c r="AC285" s="13" t="s">
        <v>2333</v>
      </c>
      <c r="AD285" s="13" t="s">
        <v>322</v>
      </c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</row>
    <row r="286" spans="1:40" ht="20.100000000000001" customHeight="1">
      <c r="A286" s="11">
        <v>285</v>
      </c>
      <c r="B286" s="12" t="s">
        <v>38</v>
      </c>
      <c r="C286" s="12" t="s">
        <v>38</v>
      </c>
      <c r="D286" s="13" t="s">
        <v>2312</v>
      </c>
      <c r="E286" s="11"/>
      <c r="F286" s="12"/>
      <c r="G286" s="13" t="str">
        <f>"9780786486939"</f>
        <v>9780786486939</v>
      </c>
      <c r="H286" s="13" t="s">
        <v>1394</v>
      </c>
      <c r="I286" s="11" t="s">
        <v>2784</v>
      </c>
      <c r="J286" s="11"/>
      <c r="K286" s="11"/>
      <c r="L286" s="11"/>
      <c r="M286" s="13" t="s">
        <v>2187</v>
      </c>
      <c r="N286" s="12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3" t="s">
        <v>2766</v>
      </c>
      <c r="AB286" s="13" t="s">
        <v>2548</v>
      </c>
      <c r="AC286" s="13" t="s">
        <v>2313</v>
      </c>
      <c r="AD286" s="13" t="s">
        <v>323</v>
      </c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</row>
    <row r="287" spans="1:40" ht="20.100000000000001" customHeight="1">
      <c r="A287" s="11">
        <v>286</v>
      </c>
      <c r="B287" s="12" t="s">
        <v>38</v>
      </c>
      <c r="C287" s="12" t="s">
        <v>38</v>
      </c>
      <c r="D287" s="13" t="s">
        <v>2312</v>
      </c>
      <c r="E287" s="11"/>
      <c r="F287" s="12"/>
      <c r="G287" s="13" t="str">
        <f>"9780786487172"</f>
        <v>9780786487172</v>
      </c>
      <c r="H287" s="13" t="s">
        <v>1395</v>
      </c>
      <c r="I287" s="11" t="s">
        <v>2784</v>
      </c>
      <c r="J287" s="11"/>
      <c r="K287" s="11"/>
      <c r="L287" s="11"/>
      <c r="M287" s="13" t="s">
        <v>2187</v>
      </c>
      <c r="N287" s="12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3" t="s">
        <v>2766</v>
      </c>
      <c r="AB287" s="13" t="s">
        <v>2548</v>
      </c>
      <c r="AC287" s="13" t="s">
        <v>2313</v>
      </c>
      <c r="AD287" s="13" t="s">
        <v>324</v>
      </c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</row>
    <row r="288" spans="1:40" ht="20.100000000000001" customHeight="1">
      <c r="A288" s="11">
        <v>287</v>
      </c>
      <c r="B288" s="12" t="s">
        <v>38</v>
      </c>
      <c r="C288" s="12" t="s">
        <v>38</v>
      </c>
      <c r="D288" s="13" t="s">
        <v>2312</v>
      </c>
      <c r="E288" s="11"/>
      <c r="F288" s="12"/>
      <c r="G288" s="13" t="str">
        <f>"9780786489176"</f>
        <v>9780786489176</v>
      </c>
      <c r="H288" s="13" t="s">
        <v>1396</v>
      </c>
      <c r="I288" s="11" t="s">
        <v>2784</v>
      </c>
      <c r="J288" s="11"/>
      <c r="K288" s="11"/>
      <c r="L288" s="11"/>
      <c r="M288" s="13" t="s">
        <v>2187</v>
      </c>
      <c r="N288" s="12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3" t="s">
        <v>2766</v>
      </c>
      <c r="AB288" s="13" t="s">
        <v>2581</v>
      </c>
      <c r="AC288" s="13" t="s">
        <v>2382</v>
      </c>
      <c r="AD288" s="13" t="s">
        <v>325</v>
      </c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</row>
    <row r="289" spans="1:40" ht="20.100000000000001" customHeight="1">
      <c r="A289" s="11">
        <v>288</v>
      </c>
      <c r="B289" s="12" t="s">
        <v>38</v>
      </c>
      <c r="C289" s="12" t="s">
        <v>38</v>
      </c>
      <c r="D289" s="13" t="s">
        <v>2312</v>
      </c>
      <c r="E289" s="11"/>
      <c r="F289" s="12"/>
      <c r="G289" s="13" t="str">
        <f>"9780826121929"</f>
        <v>9780826121929</v>
      </c>
      <c r="H289" s="13" t="s">
        <v>1397</v>
      </c>
      <c r="I289" s="11" t="s">
        <v>2784</v>
      </c>
      <c r="J289" s="11"/>
      <c r="K289" s="11"/>
      <c r="L289" s="11"/>
      <c r="M289" s="13" t="s">
        <v>2183</v>
      </c>
      <c r="N289" s="12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3" t="s">
        <v>2766</v>
      </c>
      <c r="AB289" s="13"/>
      <c r="AC289" s="13" t="s">
        <v>2378</v>
      </c>
      <c r="AD289" s="13" t="s">
        <v>326</v>
      </c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</row>
    <row r="290" spans="1:40" ht="20.100000000000001" customHeight="1">
      <c r="A290" s="11">
        <v>289</v>
      </c>
      <c r="B290" s="12" t="s">
        <v>38</v>
      </c>
      <c r="C290" s="12" t="s">
        <v>38</v>
      </c>
      <c r="D290" s="13" t="s">
        <v>2312</v>
      </c>
      <c r="E290" s="11"/>
      <c r="F290" s="12"/>
      <c r="G290" s="13" t="str">
        <f>"9780199909872"</f>
        <v>9780199909872</v>
      </c>
      <c r="H290" s="13" t="s">
        <v>1398</v>
      </c>
      <c r="I290" s="11" t="s">
        <v>2784</v>
      </c>
      <c r="J290" s="11"/>
      <c r="K290" s="11"/>
      <c r="L290" s="11"/>
      <c r="M290" s="13" t="s">
        <v>2188</v>
      </c>
      <c r="N290" s="12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3" t="s">
        <v>2766</v>
      </c>
      <c r="AB290" s="13">
        <v>200.97300000000001</v>
      </c>
      <c r="AC290" s="13" t="s">
        <v>2323</v>
      </c>
      <c r="AD290" s="13" t="s">
        <v>327</v>
      </c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</row>
    <row r="291" spans="1:40" ht="20.100000000000001" customHeight="1">
      <c r="A291" s="11">
        <v>290</v>
      </c>
      <c r="B291" s="12" t="s">
        <v>38</v>
      </c>
      <c r="C291" s="12" t="s">
        <v>38</v>
      </c>
      <c r="D291" s="13" t="s">
        <v>2312</v>
      </c>
      <c r="E291" s="11"/>
      <c r="F291" s="12"/>
      <c r="G291" s="13" t="str">
        <f>"9781119996187"</f>
        <v>9781119996187</v>
      </c>
      <c r="H291" s="13" t="s">
        <v>1399</v>
      </c>
      <c r="I291" s="11" t="s">
        <v>2784</v>
      </c>
      <c r="J291" s="11"/>
      <c r="K291" s="11"/>
      <c r="L291" s="11"/>
      <c r="M291" s="13" t="s">
        <v>2176</v>
      </c>
      <c r="N291" s="12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3" t="s">
        <v>2766</v>
      </c>
      <c r="AB291" s="13" t="s">
        <v>2582</v>
      </c>
      <c r="AC291" s="13" t="s">
        <v>2346</v>
      </c>
      <c r="AD291" s="13" t="s">
        <v>328</v>
      </c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</row>
    <row r="292" spans="1:40" ht="20.100000000000001" customHeight="1">
      <c r="A292" s="11">
        <v>291</v>
      </c>
      <c r="B292" s="12" t="s">
        <v>38</v>
      </c>
      <c r="C292" s="12" t="s">
        <v>38</v>
      </c>
      <c r="D292" s="13" t="s">
        <v>2312</v>
      </c>
      <c r="E292" s="11"/>
      <c r="F292" s="12"/>
      <c r="G292" s="13" t="str">
        <f>"9781444356045"</f>
        <v>9781444356045</v>
      </c>
      <c r="H292" s="13" t="s">
        <v>1400</v>
      </c>
      <c r="I292" s="11" t="s">
        <v>2780</v>
      </c>
      <c r="J292" s="11"/>
      <c r="K292" s="11"/>
      <c r="L292" s="11"/>
      <c r="M292" s="13" t="s">
        <v>2176</v>
      </c>
      <c r="N292" s="12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3" t="s">
        <v>2766</v>
      </c>
      <c r="AB292" s="13" t="s">
        <v>2583</v>
      </c>
      <c r="AC292" s="13" t="s">
        <v>2313</v>
      </c>
      <c r="AD292" s="13" t="s">
        <v>329</v>
      </c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</row>
    <row r="293" spans="1:40" ht="20.100000000000001" customHeight="1">
      <c r="A293" s="11">
        <v>292</v>
      </c>
      <c r="B293" s="12" t="s">
        <v>38</v>
      </c>
      <c r="C293" s="12" t="s">
        <v>38</v>
      </c>
      <c r="D293" s="13" t="s">
        <v>2312</v>
      </c>
      <c r="E293" s="11"/>
      <c r="F293" s="12"/>
      <c r="G293" s="13" t="str">
        <f>"9781444314878"</f>
        <v>9781444314878</v>
      </c>
      <c r="H293" s="13" t="s">
        <v>1401</v>
      </c>
      <c r="I293" s="11" t="s">
        <v>2784</v>
      </c>
      <c r="J293" s="11"/>
      <c r="K293" s="11"/>
      <c r="L293" s="11"/>
      <c r="M293" s="13" t="s">
        <v>2176</v>
      </c>
      <c r="N293" s="12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3" t="s">
        <v>2766</v>
      </c>
      <c r="AB293" s="13">
        <v>303.48340000000002</v>
      </c>
      <c r="AC293" s="13" t="s">
        <v>2318</v>
      </c>
      <c r="AD293" s="13" t="s">
        <v>330</v>
      </c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</row>
    <row r="294" spans="1:40" ht="20.100000000000001" customHeight="1">
      <c r="A294" s="11">
        <v>293</v>
      </c>
      <c r="B294" s="12" t="s">
        <v>38</v>
      </c>
      <c r="C294" s="12" t="s">
        <v>38</v>
      </c>
      <c r="D294" s="13" t="s">
        <v>2312</v>
      </c>
      <c r="E294" s="11"/>
      <c r="F294" s="12"/>
      <c r="G294" s="13" t="str">
        <f>"9780786484645"</f>
        <v>9780786484645</v>
      </c>
      <c r="H294" s="13" t="s">
        <v>1402</v>
      </c>
      <c r="I294" s="11" t="s">
        <v>2784</v>
      </c>
      <c r="J294" s="11"/>
      <c r="K294" s="11"/>
      <c r="L294" s="11"/>
      <c r="M294" s="13" t="s">
        <v>2187</v>
      </c>
      <c r="N294" s="12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3" t="s">
        <v>2766</v>
      </c>
      <c r="AB294" s="13">
        <v>364.660979</v>
      </c>
      <c r="AC294" s="13" t="s">
        <v>2318</v>
      </c>
      <c r="AD294" s="13" t="s">
        <v>331</v>
      </c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</row>
    <row r="295" spans="1:40" ht="20.100000000000001" customHeight="1">
      <c r="A295" s="11">
        <v>294</v>
      </c>
      <c r="B295" s="12" t="s">
        <v>38</v>
      </c>
      <c r="C295" s="12" t="s">
        <v>38</v>
      </c>
      <c r="D295" s="13" t="s">
        <v>2312</v>
      </c>
      <c r="E295" s="11"/>
      <c r="F295" s="12"/>
      <c r="G295" s="13" t="str">
        <f>"9780826110800"</f>
        <v>9780826110800</v>
      </c>
      <c r="H295" s="13" t="s">
        <v>1403</v>
      </c>
      <c r="I295" s="11" t="s">
        <v>2783</v>
      </c>
      <c r="J295" s="11"/>
      <c r="K295" s="11"/>
      <c r="L295" s="11"/>
      <c r="M295" s="13" t="s">
        <v>2183</v>
      </c>
      <c r="N295" s="12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3" t="s">
        <v>2766</v>
      </c>
      <c r="AB295" s="13">
        <v>155</v>
      </c>
      <c r="AC295" s="13" t="s">
        <v>2346</v>
      </c>
      <c r="AD295" s="13" t="s">
        <v>332</v>
      </c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</row>
    <row r="296" spans="1:40" ht="20.100000000000001" customHeight="1">
      <c r="A296" s="11">
        <v>295</v>
      </c>
      <c r="B296" s="12" t="s">
        <v>38</v>
      </c>
      <c r="C296" s="12" t="s">
        <v>38</v>
      </c>
      <c r="D296" s="13" t="s">
        <v>2312</v>
      </c>
      <c r="E296" s="11"/>
      <c r="F296" s="12"/>
      <c r="G296" s="13" t="str">
        <f>"9781615307319"</f>
        <v>9781615307319</v>
      </c>
      <c r="H296" s="13" t="s">
        <v>1404</v>
      </c>
      <c r="I296" s="11" t="s">
        <v>2784</v>
      </c>
      <c r="J296" s="11"/>
      <c r="K296" s="11"/>
      <c r="L296" s="11"/>
      <c r="M296" s="13" t="s">
        <v>2191</v>
      </c>
      <c r="N296" s="12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3" t="s">
        <v>2766</v>
      </c>
      <c r="AB296" s="13">
        <v>612.4</v>
      </c>
      <c r="AC296" s="13" t="s">
        <v>2394</v>
      </c>
      <c r="AD296" s="13" t="s">
        <v>333</v>
      </c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</row>
    <row r="297" spans="1:40" ht="20.100000000000001" customHeight="1">
      <c r="A297" s="11">
        <v>296</v>
      </c>
      <c r="B297" s="12" t="s">
        <v>38</v>
      </c>
      <c r="C297" s="12" t="s">
        <v>38</v>
      </c>
      <c r="D297" s="13" t="s">
        <v>2312</v>
      </c>
      <c r="E297" s="11"/>
      <c r="F297" s="12"/>
      <c r="G297" s="13" t="str">
        <f>"9780826198556"</f>
        <v>9780826198556</v>
      </c>
      <c r="H297" s="13" t="s">
        <v>1405</v>
      </c>
      <c r="I297" s="11" t="s">
        <v>2784</v>
      </c>
      <c r="J297" s="11"/>
      <c r="K297" s="11"/>
      <c r="L297" s="11"/>
      <c r="M297" s="13" t="s">
        <v>2183</v>
      </c>
      <c r="N297" s="12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3" t="s">
        <v>2766</v>
      </c>
      <c r="AB297" s="13"/>
      <c r="AC297" s="13" t="s">
        <v>2328</v>
      </c>
      <c r="AD297" s="13" t="s">
        <v>334</v>
      </c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</row>
    <row r="298" spans="1:40" ht="20.100000000000001" customHeight="1">
      <c r="A298" s="11">
        <v>297</v>
      </c>
      <c r="B298" s="12" t="s">
        <v>38</v>
      </c>
      <c r="C298" s="12" t="s">
        <v>38</v>
      </c>
      <c r="D298" s="13" t="s">
        <v>2312</v>
      </c>
      <c r="E298" s="11"/>
      <c r="F298" s="12"/>
      <c r="G298" s="13" t="str">
        <f>"9780786486410"</f>
        <v>9780786486410</v>
      </c>
      <c r="H298" s="13" t="s">
        <v>1406</v>
      </c>
      <c r="I298" s="11" t="s">
        <v>2784</v>
      </c>
      <c r="J298" s="11"/>
      <c r="K298" s="11"/>
      <c r="L298" s="11"/>
      <c r="M298" s="13" t="s">
        <v>2187</v>
      </c>
      <c r="N298" s="12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3" t="s">
        <v>2766</v>
      </c>
      <c r="AB298" s="13" t="s">
        <v>2584</v>
      </c>
      <c r="AC298" s="13" t="s">
        <v>2315</v>
      </c>
      <c r="AD298" s="13" t="s">
        <v>335</v>
      </c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</row>
    <row r="299" spans="1:40" ht="20.100000000000001" customHeight="1">
      <c r="A299" s="11">
        <v>298</v>
      </c>
      <c r="B299" s="12" t="s">
        <v>38</v>
      </c>
      <c r="C299" s="12" t="s">
        <v>38</v>
      </c>
      <c r="D299" s="13" t="s">
        <v>2312</v>
      </c>
      <c r="E299" s="11"/>
      <c r="F299" s="12"/>
      <c r="G299" s="13" t="str">
        <f>"9780191618154"</f>
        <v>9780191618154</v>
      </c>
      <c r="H299" s="13" t="s">
        <v>1407</v>
      </c>
      <c r="I299" s="11" t="s">
        <v>2784</v>
      </c>
      <c r="J299" s="11"/>
      <c r="K299" s="11"/>
      <c r="L299" s="11"/>
      <c r="M299" s="13" t="s">
        <v>2188</v>
      </c>
      <c r="N299" s="12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3" t="s">
        <v>2766</v>
      </c>
      <c r="AB299" s="13">
        <v>929.10720409999999</v>
      </c>
      <c r="AC299" s="13" t="s">
        <v>2317</v>
      </c>
      <c r="AD299" s="13" t="s">
        <v>336</v>
      </c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</row>
    <row r="300" spans="1:40" ht="20.100000000000001" customHeight="1">
      <c r="A300" s="11">
        <v>299</v>
      </c>
      <c r="B300" s="12" t="s">
        <v>38</v>
      </c>
      <c r="C300" s="12" t="s">
        <v>38</v>
      </c>
      <c r="D300" s="13" t="s">
        <v>2312</v>
      </c>
      <c r="E300" s="11"/>
      <c r="F300" s="12"/>
      <c r="G300" s="13" t="str">
        <f>"9780199910175"</f>
        <v>9780199910175</v>
      </c>
      <c r="H300" s="13" t="s">
        <v>1408</v>
      </c>
      <c r="I300" s="11" t="s">
        <v>2784</v>
      </c>
      <c r="J300" s="11"/>
      <c r="K300" s="11"/>
      <c r="L300" s="11"/>
      <c r="M300" s="13" t="s">
        <v>2188</v>
      </c>
      <c r="N300" s="12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3" t="s">
        <v>2766</v>
      </c>
      <c r="AB300" s="13" t="s">
        <v>2585</v>
      </c>
      <c r="AC300" s="13" t="s">
        <v>2323</v>
      </c>
      <c r="AD300" s="13" t="s">
        <v>337</v>
      </c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</row>
    <row r="301" spans="1:40" ht="20.100000000000001" customHeight="1">
      <c r="A301" s="11">
        <v>300</v>
      </c>
      <c r="B301" s="12" t="s">
        <v>38</v>
      </c>
      <c r="C301" s="12" t="s">
        <v>38</v>
      </c>
      <c r="D301" s="13" t="s">
        <v>2312</v>
      </c>
      <c r="E301" s="11"/>
      <c r="F301" s="12"/>
      <c r="G301" s="13" t="str">
        <f>"9781118117941"</f>
        <v>9781118117941</v>
      </c>
      <c r="H301" s="13" t="s">
        <v>1409</v>
      </c>
      <c r="I301" s="11" t="s">
        <v>2784</v>
      </c>
      <c r="J301" s="11"/>
      <c r="K301" s="11"/>
      <c r="L301" s="11"/>
      <c r="M301" s="13" t="s">
        <v>2176</v>
      </c>
      <c r="N301" s="12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3" t="s">
        <v>2766</v>
      </c>
      <c r="AB301" s="13"/>
      <c r="AC301" s="13" t="s">
        <v>2327</v>
      </c>
      <c r="AD301" s="13" t="s">
        <v>338</v>
      </c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</row>
    <row r="302" spans="1:40" ht="20.100000000000001" customHeight="1">
      <c r="A302" s="11">
        <v>301</v>
      </c>
      <c r="B302" s="12" t="s">
        <v>38</v>
      </c>
      <c r="C302" s="12" t="s">
        <v>38</v>
      </c>
      <c r="D302" s="13" t="s">
        <v>2312</v>
      </c>
      <c r="E302" s="11"/>
      <c r="F302" s="12"/>
      <c r="G302" s="13" t="str">
        <f>"9781118145678"</f>
        <v>9781118145678</v>
      </c>
      <c r="H302" s="13" t="s">
        <v>1410</v>
      </c>
      <c r="I302" s="11" t="s">
        <v>2785</v>
      </c>
      <c r="J302" s="11"/>
      <c r="K302" s="11"/>
      <c r="L302" s="11"/>
      <c r="M302" s="13" t="s">
        <v>2176</v>
      </c>
      <c r="N302" s="12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3" t="s">
        <v>2766</v>
      </c>
      <c r="AB302" s="13" t="s">
        <v>2586</v>
      </c>
      <c r="AC302" s="13" t="s">
        <v>2349</v>
      </c>
      <c r="AD302" s="13" t="s">
        <v>339</v>
      </c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</row>
    <row r="303" spans="1:40" ht="20.100000000000001" customHeight="1">
      <c r="A303" s="11">
        <v>302</v>
      </c>
      <c r="B303" s="12" t="s">
        <v>38</v>
      </c>
      <c r="C303" s="12" t="s">
        <v>38</v>
      </c>
      <c r="D303" s="13" t="s">
        <v>2312</v>
      </c>
      <c r="E303" s="11"/>
      <c r="F303" s="12"/>
      <c r="G303" s="13" t="str">
        <f>"9781118189665"</f>
        <v>9781118189665</v>
      </c>
      <c r="H303" s="13" t="s">
        <v>1411</v>
      </c>
      <c r="I303" s="11" t="s">
        <v>2785</v>
      </c>
      <c r="J303" s="11"/>
      <c r="K303" s="11"/>
      <c r="L303" s="11"/>
      <c r="M303" s="13" t="s">
        <v>2185</v>
      </c>
      <c r="N303" s="12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3" t="s">
        <v>2766</v>
      </c>
      <c r="AB303" s="13"/>
      <c r="AC303" s="13" t="s">
        <v>2314</v>
      </c>
      <c r="AD303" s="13" t="s">
        <v>340</v>
      </c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</row>
    <row r="304" spans="1:40" ht="20.100000000000001" customHeight="1">
      <c r="A304" s="11">
        <v>303</v>
      </c>
      <c r="B304" s="12" t="s">
        <v>38</v>
      </c>
      <c r="C304" s="12" t="s">
        <v>38</v>
      </c>
      <c r="D304" s="13" t="s">
        <v>2312</v>
      </c>
      <c r="E304" s="11"/>
      <c r="F304" s="12"/>
      <c r="G304" s="13" t="str">
        <f>"9781118189719"</f>
        <v>9781118189719</v>
      </c>
      <c r="H304" s="13" t="s">
        <v>1412</v>
      </c>
      <c r="I304" s="11" t="s">
        <v>2785</v>
      </c>
      <c r="J304" s="11"/>
      <c r="K304" s="11"/>
      <c r="L304" s="11"/>
      <c r="M304" s="13" t="s">
        <v>2185</v>
      </c>
      <c r="N304" s="12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3" t="s">
        <v>2766</v>
      </c>
      <c r="AB304" s="13">
        <v>658.30029999999999</v>
      </c>
      <c r="AC304" s="13" t="s">
        <v>2314</v>
      </c>
      <c r="AD304" s="13" t="s">
        <v>341</v>
      </c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</row>
    <row r="305" spans="1:40" ht="20.100000000000001" customHeight="1">
      <c r="A305" s="11">
        <v>304</v>
      </c>
      <c r="B305" s="12" t="s">
        <v>38</v>
      </c>
      <c r="C305" s="12" t="s">
        <v>38</v>
      </c>
      <c r="D305" s="13" t="s">
        <v>2312</v>
      </c>
      <c r="E305" s="11"/>
      <c r="F305" s="12"/>
      <c r="G305" s="13" t="str">
        <f>"9781118196656"</f>
        <v>9781118196656</v>
      </c>
      <c r="H305" s="13" t="s">
        <v>1413</v>
      </c>
      <c r="I305" s="11" t="s">
        <v>2785</v>
      </c>
      <c r="J305" s="11"/>
      <c r="K305" s="11"/>
      <c r="L305" s="11"/>
      <c r="M305" s="13" t="s">
        <v>2176</v>
      </c>
      <c r="N305" s="12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3" t="s">
        <v>2766</v>
      </c>
      <c r="AB305" s="13">
        <v>571.803</v>
      </c>
      <c r="AC305" s="13" t="s">
        <v>2362</v>
      </c>
      <c r="AD305" s="13" t="s">
        <v>342</v>
      </c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</row>
    <row r="306" spans="1:40" ht="20.100000000000001" customHeight="1">
      <c r="A306" s="11">
        <v>305</v>
      </c>
      <c r="B306" s="12" t="s">
        <v>38</v>
      </c>
      <c r="C306" s="12" t="s">
        <v>38</v>
      </c>
      <c r="D306" s="13" t="s">
        <v>2312</v>
      </c>
      <c r="E306" s="11"/>
      <c r="F306" s="12"/>
      <c r="G306" s="13" t="str">
        <f>"9781118206799"</f>
        <v>9781118206799</v>
      </c>
      <c r="H306" s="13" t="s">
        <v>1414</v>
      </c>
      <c r="I306" s="11" t="s">
        <v>2785</v>
      </c>
      <c r="J306" s="11"/>
      <c r="K306" s="11"/>
      <c r="L306" s="11"/>
      <c r="M306" s="13" t="s">
        <v>2185</v>
      </c>
      <c r="N306" s="12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3" t="s">
        <v>2766</v>
      </c>
      <c r="AB306" s="13" t="s">
        <v>2587</v>
      </c>
      <c r="AC306" s="13" t="s">
        <v>2318</v>
      </c>
      <c r="AD306" s="13" t="s">
        <v>343</v>
      </c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</row>
    <row r="307" spans="1:40" ht="20.100000000000001" customHeight="1">
      <c r="A307" s="11">
        <v>306</v>
      </c>
      <c r="B307" s="12" t="s">
        <v>38</v>
      </c>
      <c r="C307" s="12" t="s">
        <v>38</v>
      </c>
      <c r="D307" s="13" t="s">
        <v>2312</v>
      </c>
      <c r="E307" s="11"/>
      <c r="F307" s="12"/>
      <c r="G307" s="13" t="str">
        <f>"9781119993926"</f>
        <v>9781119993926</v>
      </c>
      <c r="H307" s="13" t="s">
        <v>1415</v>
      </c>
      <c r="I307" s="11" t="s">
        <v>2784</v>
      </c>
      <c r="J307" s="11"/>
      <c r="K307" s="11"/>
      <c r="L307" s="11"/>
      <c r="M307" s="13" t="s">
        <v>2176</v>
      </c>
      <c r="N307" s="12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3" t="s">
        <v>2766</v>
      </c>
      <c r="AB307" s="13">
        <v>621.45000000000005</v>
      </c>
      <c r="AC307" s="13" t="s">
        <v>2395</v>
      </c>
      <c r="AD307" s="13" t="s">
        <v>344</v>
      </c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</row>
    <row r="308" spans="1:40" ht="20.100000000000001" customHeight="1">
      <c r="A308" s="11">
        <v>307</v>
      </c>
      <c r="B308" s="12" t="s">
        <v>38</v>
      </c>
      <c r="C308" s="12" t="s">
        <v>38</v>
      </c>
      <c r="D308" s="13" t="s">
        <v>2312</v>
      </c>
      <c r="E308" s="11"/>
      <c r="F308" s="12"/>
      <c r="G308" s="13" t="str">
        <f>"9781444397727"</f>
        <v>9781444397727</v>
      </c>
      <c r="H308" s="13" t="s">
        <v>1416</v>
      </c>
      <c r="I308" s="11" t="s">
        <v>2784</v>
      </c>
      <c r="J308" s="11"/>
      <c r="K308" s="11"/>
      <c r="L308" s="11"/>
      <c r="M308" s="13" t="s">
        <v>2176</v>
      </c>
      <c r="N308" s="12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3" t="s">
        <v>2766</v>
      </c>
      <c r="AB308" s="13">
        <v>664.06</v>
      </c>
      <c r="AC308" s="13" t="s">
        <v>2396</v>
      </c>
      <c r="AD308" s="13" t="s">
        <v>345</v>
      </c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</row>
    <row r="309" spans="1:40" ht="20.100000000000001" customHeight="1">
      <c r="A309" s="11">
        <v>308</v>
      </c>
      <c r="B309" s="12" t="s">
        <v>38</v>
      </c>
      <c r="C309" s="12" t="s">
        <v>38</v>
      </c>
      <c r="D309" s="13" t="s">
        <v>2312</v>
      </c>
      <c r="E309" s="11"/>
      <c r="F309" s="12"/>
      <c r="G309" s="13" t="str">
        <f>"9781444356175"</f>
        <v>9781444356175</v>
      </c>
      <c r="H309" s="13" t="s">
        <v>1417</v>
      </c>
      <c r="I309" s="11" t="s">
        <v>2780</v>
      </c>
      <c r="J309" s="11"/>
      <c r="K309" s="11"/>
      <c r="L309" s="11"/>
      <c r="M309" s="13" t="s">
        <v>2176</v>
      </c>
      <c r="N309" s="12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3" t="s">
        <v>2766</v>
      </c>
      <c r="AB309" s="13">
        <v>193</v>
      </c>
      <c r="AC309" s="13" t="s">
        <v>2325</v>
      </c>
      <c r="AD309" s="13" t="s">
        <v>346</v>
      </c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</row>
    <row r="310" spans="1:40" ht="20.100000000000001" customHeight="1">
      <c r="A310" s="11">
        <v>309</v>
      </c>
      <c r="B310" s="12" t="s">
        <v>38</v>
      </c>
      <c r="C310" s="12" t="s">
        <v>38</v>
      </c>
      <c r="D310" s="13" t="s">
        <v>2312</v>
      </c>
      <c r="E310" s="11"/>
      <c r="F310" s="12"/>
      <c r="G310" s="13" t="str">
        <f>"9781444356564"</f>
        <v>9781444356564</v>
      </c>
      <c r="H310" s="13" t="s">
        <v>1418</v>
      </c>
      <c r="I310" s="11" t="s">
        <v>2780</v>
      </c>
      <c r="J310" s="11"/>
      <c r="K310" s="11"/>
      <c r="L310" s="11"/>
      <c r="M310" s="13" t="s">
        <v>2176</v>
      </c>
      <c r="N310" s="12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3" t="s">
        <v>2766</v>
      </c>
      <c r="AB310" s="13" t="s">
        <v>2588</v>
      </c>
      <c r="AC310" s="13" t="s">
        <v>2325</v>
      </c>
      <c r="AD310" s="13" t="s">
        <v>347</v>
      </c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</row>
    <row r="311" spans="1:40" ht="20.100000000000001" customHeight="1">
      <c r="A311" s="11">
        <v>310</v>
      </c>
      <c r="B311" s="12" t="s">
        <v>38</v>
      </c>
      <c r="C311" s="12" t="s">
        <v>38</v>
      </c>
      <c r="D311" s="13" t="s">
        <v>2312</v>
      </c>
      <c r="E311" s="11"/>
      <c r="F311" s="12"/>
      <c r="G311" s="13" t="str">
        <f>"9781444356588"</f>
        <v>9781444356588</v>
      </c>
      <c r="H311" s="13" t="s">
        <v>1419</v>
      </c>
      <c r="I311" s="11" t="s">
        <v>2777</v>
      </c>
      <c r="J311" s="11"/>
      <c r="K311" s="11"/>
      <c r="L311" s="11"/>
      <c r="M311" s="13" t="s">
        <v>2176</v>
      </c>
      <c r="N311" s="12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3" t="s">
        <v>2766</v>
      </c>
      <c r="AB311" s="13">
        <v>2.09</v>
      </c>
      <c r="AC311" s="13" t="s">
        <v>2354</v>
      </c>
      <c r="AD311" s="13" t="s">
        <v>348</v>
      </c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</row>
    <row r="312" spans="1:40" ht="20.100000000000001" customHeight="1">
      <c r="A312" s="11">
        <v>311</v>
      </c>
      <c r="B312" s="12" t="s">
        <v>38</v>
      </c>
      <c r="C312" s="12" t="s">
        <v>38</v>
      </c>
      <c r="D312" s="13" t="s">
        <v>2312</v>
      </c>
      <c r="E312" s="11"/>
      <c r="F312" s="12"/>
      <c r="G312" s="13" t="str">
        <f>"9781444357134"</f>
        <v>9781444357134</v>
      </c>
      <c r="H312" s="13" t="s">
        <v>1420</v>
      </c>
      <c r="I312" s="11" t="s">
        <v>2774</v>
      </c>
      <c r="J312" s="11"/>
      <c r="K312" s="11"/>
      <c r="L312" s="11"/>
      <c r="M312" s="13" t="s">
        <v>2176</v>
      </c>
      <c r="N312" s="12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3" t="s">
        <v>2766</v>
      </c>
      <c r="AB312" s="13">
        <v>305.23099999999999</v>
      </c>
      <c r="AC312" s="13" t="s">
        <v>2318</v>
      </c>
      <c r="AD312" s="13" t="s">
        <v>349</v>
      </c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</row>
    <row r="313" spans="1:40" ht="20.100000000000001" customHeight="1">
      <c r="A313" s="11">
        <v>312</v>
      </c>
      <c r="B313" s="12" t="s">
        <v>38</v>
      </c>
      <c r="C313" s="12" t="s">
        <v>38</v>
      </c>
      <c r="D313" s="13" t="s">
        <v>2312</v>
      </c>
      <c r="E313" s="11"/>
      <c r="F313" s="12"/>
      <c r="G313" s="13" t="str">
        <f>"9781444357202"</f>
        <v>9781444357202</v>
      </c>
      <c r="H313" s="13" t="s">
        <v>1421</v>
      </c>
      <c r="I313" s="11" t="s">
        <v>2783</v>
      </c>
      <c r="J313" s="11"/>
      <c r="K313" s="11"/>
      <c r="L313" s="11"/>
      <c r="M313" s="13" t="s">
        <v>2176</v>
      </c>
      <c r="N313" s="12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3" t="s">
        <v>2766</v>
      </c>
      <c r="AB313" s="13">
        <v>937.02</v>
      </c>
      <c r="AC313" s="13" t="s">
        <v>2317</v>
      </c>
      <c r="AD313" s="13" t="s">
        <v>350</v>
      </c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</row>
    <row r="314" spans="1:40" ht="20.100000000000001" customHeight="1">
      <c r="A314" s="11">
        <v>313</v>
      </c>
      <c r="B314" s="12" t="s">
        <v>38</v>
      </c>
      <c r="C314" s="12" t="s">
        <v>38</v>
      </c>
      <c r="D314" s="13" t="s">
        <v>2312</v>
      </c>
      <c r="E314" s="11"/>
      <c r="F314" s="12"/>
      <c r="G314" s="13" t="str">
        <f>"9781444357226"</f>
        <v>9781444357226</v>
      </c>
      <c r="H314" s="13" t="s">
        <v>1422</v>
      </c>
      <c r="I314" s="11" t="s">
        <v>2780</v>
      </c>
      <c r="J314" s="11"/>
      <c r="K314" s="11"/>
      <c r="L314" s="11"/>
      <c r="M314" s="13" t="s">
        <v>2176</v>
      </c>
      <c r="N314" s="12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3" t="s">
        <v>2766</v>
      </c>
      <c r="AB314" s="13">
        <v>709.02</v>
      </c>
      <c r="AC314" s="13" t="s">
        <v>2315</v>
      </c>
      <c r="AD314" s="13" t="s">
        <v>351</v>
      </c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</row>
    <row r="315" spans="1:40" ht="20.100000000000001" customHeight="1">
      <c r="A315" s="11">
        <v>314</v>
      </c>
      <c r="B315" s="12" t="s">
        <v>38</v>
      </c>
      <c r="C315" s="12" t="s">
        <v>38</v>
      </c>
      <c r="D315" s="13" t="s">
        <v>2312</v>
      </c>
      <c r="E315" s="11"/>
      <c r="F315" s="12"/>
      <c r="G315" s="13" t="str">
        <f>"9781444357943"</f>
        <v>9781444357943</v>
      </c>
      <c r="H315" s="13" t="s">
        <v>1423</v>
      </c>
      <c r="I315" s="11" t="s">
        <v>2774</v>
      </c>
      <c r="J315" s="11"/>
      <c r="K315" s="11"/>
      <c r="L315" s="11"/>
      <c r="M315" s="13" t="s">
        <v>2176</v>
      </c>
      <c r="N315" s="12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3" t="s">
        <v>2766</v>
      </c>
      <c r="AB315" s="13">
        <v>69</v>
      </c>
      <c r="AC315" s="13" t="s">
        <v>2397</v>
      </c>
      <c r="AD315" s="13" t="s">
        <v>352</v>
      </c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</row>
    <row r="316" spans="1:40" ht="20.100000000000001" customHeight="1">
      <c r="A316" s="11">
        <v>315</v>
      </c>
      <c r="B316" s="12" t="s">
        <v>38</v>
      </c>
      <c r="C316" s="12" t="s">
        <v>38</v>
      </c>
      <c r="D316" s="13" t="s">
        <v>2312</v>
      </c>
      <c r="E316" s="11"/>
      <c r="F316" s="12"/>
      <c r="G316" s="13" t="str">
        <f>"9781444391626"</f>
        <v>9781444391626</v>
      </c>
      <c r="H316" s="13" t="s">
        <v>1424</v>
      </c>
      <c r="I316" s="11" t="s">
        <v>2773</v>
      </c>
      <c r="J316" s="11"/>
      <c r="K316" s="11"/>
      <c r="L316" s="11"/>
      <c r="M316" s="13" t="s">
        <v>2176</v>
      </c>
      <c r="N316" s="12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3" t="s">
        <v>2766</v>
      </c>
      <c r="AB316" s="13">
        <v>973.7</v>
      </c>
      <c r="AC316" s="13" t="s">
        <v>2317</v>
      </c>
      <c r="AD316" s="13" t="s">
        <v>353</v>
      </c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</row>
    <row r="317" spans="1:40" ht="20.100000000000001" customHeight="1">
      <c r="A317" s="11">
        <v>316</v>
      </c>
      <c r="B317" s="12" t="s">
        <v>38</v>
      </c>
      <c r="C317" s="12" t="s">
        <v>38</v>
      </c>
      <c r="D317" s="13" t="s">
        <v>2312</v>
      </c>
      <c r="E317" s="11"/>
      <c r="F317" s="12"/>
      <c r="G317" s="13" t="str">
        <f>"9781444391657"</f>
        <v>9781444391657</v>
      </c>
      <c r="H317" s="13" t="s">
        <v>1425</v>
      </c>
      <c r="I317" s="11" t="s">
        <v>2774</v>
      </c>
      <c r="J317" s="11"/>
      <c r="K317" s="11"/>
      <c r="L317" s="11"/>
      <c r="M317" s="13" t="s">
        <v>2176</v>
      </c>
      <c r="N317" s="12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3" t="s">
        <v>2766</v>
      </c>
      <c r="AB317" s="13" t="s">
        <v>2589</v>
      </c>
      <c r="AC317" s="13" t="s">
        <v>2398</v>
      </c>
      <c r="AD317" s="13" t="s">
        <v>354</v>
      </c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</row>
    <row r="318" spans="1:40" ht="20.100000000000001" customHeight="1">
      <c r="A318" s="11">
        <v>317</v>
      </c>
      <c r="B318" s="12" t="s">
        <v>38</v>
      </c>
      <c r="C318" s="12" t="s">
        <v>38</v>
      </c>
      <c r="D318" s="13" t="s">
        <v>2312</v>
      </c>
      <c r="E318" s="11"/>
      <c r="F318" s="12"/>
      <c r="G318" s="13" t="str">
        <f>"9781444391671"</f>
        <v>9781444391671</v>
      </c>
      <c r="H318" s="13" t="s">
        <v>1426</v>
      </c>
      <c r="I318" s="11" t="s">
        <v>2774</v>
      </c>
      <c r="J318" s="11"/>
      <c r="K318" s="11"/>
      <c r="L318" s="11"/>
      <c r="M318" s="13" t="s">
        <v>2176</v>
      </c>
      <c r="N318" s="12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3" t="s">
        <v>2766</v>
      </c>
      <c r="AB318" s="13"/>
      <c r="AC318" s="13" t="s">
        <v>2317</v>
      </c>
      <c r="AD318" s="13" t="s">
        <v>355</v>
      </c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</row>
    <row r="319" spans="1:40" ht="20.100000000000001" customHeight="1">
      <c r="A319" s="11">
        <v>318</v>
      </c>
      <c r="B319" s="12" t="s">
        <v>38</v>
      </c>
      <c r="C319" s="12" t="s">
        <v>38</v>
      </c>
      <c r="D319" s="13" t="s">
        <v>2312</v>
      </c>
      <c r="E319" s="11"/>
      <c r="F319" s="12"/>
      <c r="G319" s="13" t="str">
        <f>"9781444393767"</f>
        <v>9781444393767</v>
      </c>
      <c r="H319" s="13" t="s">
        <v>1427</v>
      </c>
      <c r="I319" s="11" t="s">
        <v>2777</v>
      </c>
      <c r="J319" s="11"/>
      <c r="K319" s="11"/>
      <c r="L319" s="11"/>
      <c r="M319" s="13" t="s">
        <v>2176</v>
      </c>
      <c r="N319" s="12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3" t="s">
        <v>2766</v>
      </c>
      <c r="AB319" s="13">
        <v>355.00936999999999</v>
      </c>
      <c r="AC319" s="13" t="s">
        <v>2399</v>
      </c>
      <c r="AD319" s="13" t="s">
        <v>356</v>
      </c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</row>
    <row r="320" spans="1:40" ht="20.100000000000001" customHeight="1">
      <c r="A320" s="11">
        <v>319</v>
      </c>
      <c r="B320" s="12" t="s">
        <v>38</v>
      </c>
      <c r="C320" s="12" t="s">
        <v>38</v>
      </c>
      <c r="D320" s="13" t="s">
        <v>2312</v>
      </c>
      <c r="E320" s="11"/>
      <c r="F320" s="12"/>
      <c r="G320" s="13" t="str">
        <f>"9781118189726"</f>
        <v>9781118189726</v>
      </c>
      <c r="H320" s="13" t="s">
        <v>1428</v>
      </c>
      <c r="I320" s="11" t="s">
        <v>2785</v>
      </c>
      <c r="J320" s="11"/>
      <c r="K320" s="11"/>
      <c r="L320" s="11"/>
      <c r="M320" s="13" t="s">
        <v>2185</v>
      </c>
      <c r="N320" s="12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3" t="s">
        <v>2766</v>
      </c>
      <c r="AB320" s="13">
        <v>658.30029999999999</v>
      </c>
      <c r="AC320" s="13" t="s">
        <v>2314</v>
      </c>
      <c r="AD320" s="13" t="s">
        <v>357</v>
      </c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</row>
    <row r="321" spans="1:40" ht="20.100000000000001" customHeight="1">
      <c r="A321" s="11">
        <v>320</v>
      </c>
      <c r="B321" s="12" t="s">
        <v>38</v>
      </c>
      <c r="C321" s="12" t="s">
        <v>38</v>
      </c>
      <c r="D321" s="13" t="s">
        <v>2312</v>
      </c>
      <c r="E321" s="11"/>
      <c r="F321" s="12"/>
      <c r="G321" s="13" t="str">
        <f>"9781118224403"</f>
        <v>9781118224403</v>
      </c>
      <c r="H321" s="13" t="s">
        <v>1429</v>
      </c>
      <c r="I321" s="11" t="s">
        <v>2785</v>
      </c>
      <c r="J321" s="11"/>
      <c r="K321" s="11"/>
      <c r="L321" s="11"/>
      <c r="M321" s="13" t="s">
        <v>2176</v>
      </c>
      <c r="N321" s="12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3" t="s">
        <v>2766</v>
      </c>
      <c r="AB321" s="13">
        <v>657</v>
      </c>
      <c r="AC321" s="13" t="s">
        <v>2314</v>
      </c>
      <c r="AD321" s="13" t="s">
        <v>358</v>
      </c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</row>
    <row r="322" spans="1:40" ht="20.100000000000001" customHeight="1">
      <c r="A322" s="11">
        <v>321</v>
      </c>
      <c r="B322" s="12" t="s">
        <v>38</v>
      </c>
      <c r="C322" s="12" t="s">
        <v>38</v>
      </c>
      <c r="D322" s="13" t="s">
        <v>2312</v>
      </c>
      <c r="E322" s="11"/>
      <c r="F322" s="12"/>
      <c r="G322" s="13" t="str">
        <f>"9781118174692"</f>
        <v>9781118174692</v>
      </c>
      <c r="H322" s="13" t="s">
        <v>1430</v>
      </c>
      <c r="I322" s="11" t="s">
        <v>2778</v>
      </c>
      <c r="J322" s="11"/>
      <c r="K322" s="11"/>
      <c r="L322" s="11"/>
      <c r="M322" s="13" t="s">
        <v>2176</v>
      </c>
      <c r="N322" s="12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3" t="s">
        <v>2766</v>
      </c>
      <c r="AB322" s="13">
        <v>741.60688000000005</v>
      </c>
      <c r="AC322" s="13" t="s">
        <v>2315</v>
      </c>
      <c r="AD322" s="13" t="s">
        <v>359</v>
      </c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</row>
    <row r="323" spans="1:40" ht="20.100000000000001" customHeight="1">
      <c r="A323" s="11">
        <v>322</v>
      </c>
      <c r="B323" s="12" t="s">
        <v>38</v>
      </c>
      <c r="C323" s="12" t="s">
        <v>38</v>
      </c>
      <c r="D323" s="13" t="s">
        <v>2312</v>
      </c>
      <c r="E323" s="11"/>
      <c r="F323" s="12"/>
      <c r="G323" s="13" t="str">
        <f>"9781444323641"</f>
        <v>9781444323641</v>
      </c>
      <c r="H323" s="13" t="s">
        <v>1431</v>
      </c>
      <c r="I323" s="11" t="s">
        <v>2783</v>
      </c>
      <c r="J323" s="11"/>
      <c r="K323" s="11"/>
      <c r="L323" s="11"/>
      <c r="M323" s="13" t="s">
        <v>2176</v>
      </c>
      <c r="N323" s="12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3" t="s">
        <v>2766</v>
      </c>
      <c r="AB323" s="13">
        <v>940.3</v>
      </c>
      <c r="AC323" s="13" t="s">
        <v>2317</v>
      </c>
      <c r="AD323" s="13" t="s">
        <v>360</v>
      </c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</row>
    <row r="324" spans="1:40" ht="20.100000000000001" customHeight="1">
      <c r="A324" s="11">
        <v>323</v>
      </c>
      <c r="B324" s="12" t="s">
        <v>38</v>
      </c>
      <c r="C324" s="12" t="s">
        <v>38</v>
      </c>
      <c r="D324" s="13" t="s">
        <v>2312</v>
      </c>
      <c r="E324" s="11"/>
      <c r="F324" s="12"/>
      <c r="G324" s="13" t="str">
        <f>"9781444347357"</f>
        <v>9781444347357</v>
      </c>
      <c r="H324" s="13" t="s">
        <v>1432</v>
      </c>
      <c r="I324" s="11" t="s">
        <v>2785</v>
      </c>
      <c r="J324" s="11"/>
      <c r="K324" s="11"/>
      <c r="L324" s="11"/>
      <c r="M324" s="13" t="s">
        <v>2176</v>
      </c>
      <c r="N324" s="12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3" t="s">
        <v>2766</v>
      </c>
      <c r="AB324" s="13">
        <v>301</v>
      </c>
      <c r="AC324" s="13" t="s">
        <v>2318</v>
      </c>
      <c r="AD324" s="13" t="s">
        <v>361</v>
      </c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</row>
    <row r="325" spans="1:40" ht="20.100000000000001" customHeight="1">
      <c r="A325" s="11">
        <v>324</v>
      </c>
      <c r="B325" s="12" t="s">
        <v>38</v>
      </c>
      <c r="C325" s="12" t="s">
        <v>38</v>
      </c>
      <c r="D325" s="13" t="s">
        <v>2312</v>
      </c>
      <c r="E325" s="11"/>
      <c r="F325" s="12"/>
      <c r="G325" s="13" t="str">
        <f>"9781444354089"</f>
        <v>9781444354089</v>
      </c>
      <c r="H325" s="13" t="s">
        <v>1433</v>
      </c>
      <c r="I325" s="11" t="s">
        <v>2785</v>
      </c>
      <c r="J325" s="11"/>
      <c r="K325" s="11"/>
      <c r="L325" s="11"/>
      <c r="M325" s="13" t="s">
        <v>2176</v>
      </c>
      <c r="N325" s="12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3" t="s">
        <v>2766</v>
      </c>
      <c r="AB325" s="13">
        <v>306.85000000000002</v>
      </c>
      <c r="AC325" s="13" t="s">
        <v>2318</v>
      </c>
      <c r="AD325" s="13" t="s">
        <v>362</v>
      </c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</row>
    <row r="326" spans="1:40" ht="20.100000000000001" customHeight="1">
      <c r="A326" s="11">
        <v>325</v>
      </c>
      <c r="B326" s="12" t="s">
        <v>38</v>
      </c>
      <c r="C326" s="12" t="s">
        <v>38</v>
      </c>
      <c r="D326" s="13" t="s">
        <v>2312</v>
      </c>
      <c r="E326" s="11"/>
      <c r="F326" s="12"/>
      <c r="G326" s="13" t="str">
        <f>"9781444355291"</f>
        <v>9781444355291</v>
      </c>
      <c r="H326" s="13" t="s">
        <v>1434</v>
      </c>
      <c r="I326" s="11" t="s">
        <v>2784</v>
      </c>
      <c r="J326" s="11"/>
      <c r="K326" s="11"/>
      <c r="L326" s="11"/>
      <c r="M326" s="13" t="s">
        <v>2176</v>
      </c>
      <c r="N326" s="12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3" t="s">
        <v>2766</v>
      </c>
      <c r="AB326" s="13" t="s">
        <v>2590</v>
      </c>
      <c r="AC326" s="13" t="s">
        <v>2365</v>
      </c>
      <c r="AD326" s="13" t="s">
        <v>363</v>
      </c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</row>
    <row r="327" spans="1:40" ht="20.100000000000001" customHeight="1">
      <c r="A327" s="11">
        <v>326</v>
      </c>
      <c r="B327" s="12" t="s">
        <v>38</v>
      </c>
      <c r="C327" s="12" t="s">
        <v>38</v>
      </c>
      <c r="D327" s="13" t="s">
        <v>2312</v>
      </c>
      <c r="E327" s="11"/>
      <c r="F327" s="12"/>
      <c r="G327" s="13" t="str">
        <f>"9780199909551"</f>
        <v>9780199909551</v>
      </c>
      <c r="H327" s="13" t="s">
        <v>1435</v>
      </c>
      <c r="I327" s="11" t="s">
        <v>2784</v>
      </c>
      <c r="J327" s="11"/>
      <c r="K327" s="11"/>
      <c r="L327" s="11"/>
      <c r="M327" s="13" t="s">
        <v>2188</v>
      </c>
      <c r="N327" s="12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3" t="s">
        <v>2766</v>
      </c>
      <c r="AB327" s="13" t="s">
        <v>2591</v>
      </c>
      <c r="AC327" s="13" t="s">
        <v>2400</v>
      </c>
      <c r="AD327" s="13" t="s">
        <v>364</v>
      </c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</row>
    <row r="328" spans="1:40" ht="20.100000000000001" customHeight="1">
      <c r="A328" s="11">
        <v>327</v>
      </c>
      <c r="B328" s="12" t="s">
        <v>38</v>
      </c>
      <c r="C328" s="12" t="s">
        <v>38</v>
      </c>
      <c r="D328" s="13" t="s">
        <v>2312</v>
      </c>
      <c r="E328" s="11"/>
      <c r="F328" s="12"/>
      <c r="G328" s="13" t="str">
        <f>"9780199701681"</f>
        <v>9780199701681</v>
      </c>
      <c r="H328" s="13" t="s">
        <v>1436</v>
      </c>
      <c r="I328" s="11" t="s">
        <v>2784</v>
      </c>
      <c r="J328" s="11"/>
      <c r="K328" s="11"/>
      <c r="L328" s="11"/>
      <c r="M328" s="13" t="s">
        <v>2188</v>
      </c>
      <c r="N328" s="12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3" t="s">
        <v>2766</v>
      </c>
      <c r="AB328" s="13" t="s">
        <v>2592</v>
      </c>
      <c r="AC328" s="13" t="s">
        <v>2347</v>
      </c>
      <c r="AD328" s="13" t="s">
        <v>365</v>
      </c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</row>
    <row r="329" spans="1:40" ht="20.100000000000001" customHeight="1">
      <c r="A329" s="11">
        <v>328</v>
      </c>
      <c r="B329" s="12" t="s">
        <v>38</v>
      </c>
      <c r="C329" s="12" t="s">
        <v>38</v>
      </c>
      <c r="D329" s="13" t="s">
        <v>2312</v>
      </c>
      <c r="E329" s="11"/>
      <c r="F329" s="12"/>
      <c r="G329" s="13" t="str">
        <f>"9780199702138"</f>
        <v>9780199702138</v>
      </c>
      <c r="H329" s="13" t="s">
        <v>1437</v>
      </c>
      <c r="I329" s="11" t="s">
        <v>2785</v>
      </c>
      <c r="J329" s="11"/>
      <c r="K329" s="11"/>
      <c r="L329" s="11"/>
      <c r="M329" s="13" t="s">
        <v>2188</v>
      </c>
      <c r="N329" s="12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3" t="s">
        <v>2766</v>
      </c>
      <c r="AB329" s="13">
        <v>302.3</v>
      </c>
      <c r="AC329" s="13" t="s">
        <v>2318</v>
      </c>
      <c r="AD329" s="13" t="s">
        <v>366</v>
      </c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</row>
    <row r="330" spans="1:40" ht="20.100000000000001" customHeight="1">
      <c r="A330" s="11">
        <v>329</v>
      </c>
      <c r="B330" s="12" t="s">
        <v>38</v>
      </c>
      <c r="C330" s="12" t="s">
        <v>38</v>
      </c>
      <c r="D330" s="13" t="s">
        <v>2312</v>
      </c>
      <c r="E330" s="11"/>
      <c r="F330" s="12"/>
      <c r="G330" s="13" t="str">
        <f>"9781118218556"</f>
        <v>9781118218556</v>
      </c>
      <c r="H330" s="13" t="s">
        <v>1438</v>
      </c>
      <c r="I330" s="11" t="s">
        <v>2785</v>
      </c>
      <c r="J330" s="11"/>
      <c r="K330" s="11"/>
      <c r="L330" s="11"/>
      <c r="M330" s="13" t="s">
        <v>2176</v>
      </c>
      <c r="N330" s="12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3" t="s">
        <v>2766</v>
      </c>
      <c r="AB330" s="13">
        <v>370.15097300000002</v>
      </c>
      <c r="AC330" s="13" t="s">
        <v>2349</v>
      </c>
      <c r="AD330" s="13" t="s">
        <v>367</v>
      </c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</row>
    <row r="331" spans="1:40" ht="20.100000000000001" customHeight="1">
      <c r="A331" s="11">
        <v>330</v>
      </c>
      <c r="B331" s="12" t="s">
        <v>38</v>
      </c>
      <c r="C331" s="12" t="s">
        <v>38</v>
      </c>
      <c r="D331" s="13" t="s">
        <v>2312</v>
      </c>
      <c r="E331" s="11"/>
      <c r="F331" s="12"/>
      <c r="G331" s="13" t="str">
        <f>"9781118287255"</f>
        <v>9781118287255</v>
      </c>
      <c r="H331" s="13" t="s">
        <v>1439</v>
      </c>
      <c r="I331" s="11" t="s">
        <v>2785</v>
      </c>
      <c r="J331" s="11"/>
      <c r="K331" s="11"/>
      <c r="L331" s="11"/>
      <c r="M331" s="13" t="s">
        <v>2176</v>
      </c>
      <c r="N331" s="12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3" t="s">
        <v>2766</v>
      </c>
      <c r="AB331" s="13"/>
      <c r="AC331" s="13" t="s">
        <v>2369</v>
      </c>
      <c r="AD331" s="13" t="s">
        <v>368</v>
      </c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</row>
    <row r="332" spans="1:40" ht="20.100000000000001" customHeight="1">
      <c r="A332" s="11">
        <v>331</v>
      </c>
      <c r="B332" s="12" t="s">
        <v>38</v>
      </c>
      <c r="C332" s="12" t="s">
        <v>38</v>
      </c>
      <c r="D332" s="13" t="s">
        <v>2312</v>
      </c>
      <c r="E332" s="11"/>
      <c r="F332" s="12"/>
      <c r="G332" s="13" t="str">
        <f>"9781118290590"</f>
        <v>9781118290590</v>
      </c>
      <c r="H332" s="13" t="s">
        <v>1440</v>
      </c>
      <c r="I332" s="11" t="s">
        <v>2785</v>
      </c>
      <c r="J332" s="11"/>
      <c r="K332" s="11"/>
      <c r="L332" s="11"/>
      <c r="M332" s="13" t="s">
        <v>2176</v>
      </c>
      <c r="N332" s="12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3" t="s">
        <v>2766</v>
      </c>
      <c r="AB332" s="13">
        <v>306</v>
      </c>
      <c r="AC332" s="13" t="s">
        <v>2318</v>
      </c>
      <c r="AD332" s="13" t="s">
        <v>369</v>
      </c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</row>
    <row r="333" spans="1:40" ht="20.100000000000001" customHeight="1">
      <c r="A333" s="11">
        <v>332</v>
      </c>
      <c r="B333" s="12" t="s">
        <v>38</v>
      </c>
      <c r="C333" s="12" t="s">
        <v>38</v>
      </c>
      <c r="D333" s="13" t="s">
        <v>2312</v>
      </c>
      <c r="E333" s="11"/>
      <c r="F333" s="12"/>
      <c r="G333" s="13" t="str">
        <f>"9780199909513"</f>
        <v>9780199909513</v>
      </c>
      <c r="H333" s="13" t="s">
        <v>1441</v>
      </c>
      <c r="I333" s="11" t="s">
        <v>2784</v>
      </c>
      <c r="J333" s="11"/>
      <c r="K333" s="11"/>
      <c r="L333" s="11"/>
      <c r="M333" s="13" t="s">
        <v>2188</v>
      </c>
      <c r="N333" s="12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3" t="s">
        <v>2766</v>
      </c>
      <c r="AB333" s="13" t="s">
        <v>2593</v>
      </c>
      <c r="AC333" s="13" t="s">
        <v>2401</v>
      </c>
      <c r="AD333" s="13" t="s">
        <v>370</v>
      </c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</row>
    <row r="334" spans="1:40" ht="20.100000000000001" customHeight="1">
      <c r="A334" s="11">
        <v>333</v>
      </c>
      <c r="B334" s="12" t="s">
        <v>38</v>
      </c>
      <c r="C334" s="12" t="s">
        <v>38</v>
      </c>
      <c r="D334" s="13" t="s">
        <v>2312</v>
      </c>
      <c r="E334" s="11"/>
      <c r="F334" s="12"/>
      <c r="G334" s="13" t="str">
        <f>"9780199909940"</f>
        <v>9780199909940</v>
      </c>
      <c r="H334" s="13" t="s">
        <v>1442</v>
      </c>
      <c r="I334" s="11" t="s">
        <v>2784</v>
      </c>
      <c r="J334" s="11"/>
      <c r="K334" s="11"/>
      <c r="L334" s="11"/>
      <c r="M334" s="13" t="s">
        <v>2194</v>
      </c>
      <c r="N334" s="12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3" t="s">
        <v>2766</v>
      </c>
      <c r="AB334" s="13">
        <v>616.80427999999995</v>
      </c>
      <c r="AC334" s="13" t="s">
        <v>2328</v>
      </c>
      <c r="AD334" s="13" t="s">
        <v>371</v>
      </c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</row>
    <row r="335" spans="1:40" ht="20.100000000000001" customHeight="1">
      <c r="A335" s="11">
        <v>334</v>
      </c>
      <c r="B335" s="12" t="s">
        <v>38</v>
      </c>
      <c r="C335" s="12" t="s">
        <v>38</v>
      </c>
      <c r="D335" s="13" t="s">
        <v>2312</v>
      </c>
      <c r="E335" s="11"/>
      <c r="F335" s="12"/>
      <c r="G335" s="13" t="str">
        <f>"9780199875825"</f>
        <v>9780199875825</v>
      </c>
      <c r="H335" s="13" t="s">
        <v>1443</v>
      </c>
      <c r="I335" s="11" t="s">
        <v>2785</v>
      </c>
      <c r="J335" s="11"/>
      <c r="K335" s="11"/>
      <c r="L335" s="11"/>
      <c r="M335" s="13" t="s">
        <v>2188</v>
      </c>
      <c r="N335" s="12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3" t="s">
        <v>2766</v>
      </c>
      <c r="AB335" s="13" t="s">
        <v>2594</v>
      </c>
      <c r="AC335" s="13" t="s">
        <v>2402</v>
      </c>
      <c r="AD335" s="13" t="s">
        <v>372</v>
      </c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</row>
    <row r="336" spans="1:40" ht="20.100000000000001" customHeight="1">
      <c r="A336" s="11">
        <v>335</v>
      </c>
      <c r="B336" s="12" t="s">
        <v>38</v>
      </c>
      <c r="C336" s="12" t="s">
        <v>38</v>
      </c>
      <c r="D336" s="13" t="s">
        <v>2312</v>
      </c>
      <c r="E336" s="11"/>
      <c r="F336" s="12"/>
      <c r="G336" s="13" t="str">
        <f>"9780786488940"</f>
        <v>9780786488940</v>
      </c>
      <c r="H336" s="13" t="s">
        <v>1444</v>
      </c>
      <c r="I336" s="11" t="s">
        <v>2785</v>
      </c>
      <c r="J336" s="11"/>
      <c r="K336" s="11"/>
      <c r="L336" s="11"/>
      <c r="M336" s="13" t="s">
        <v>2187</v>
      </c>
      <c r="N336" s="12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3" t="s">
        <v>2766</v>
      </c>
      <c r="AB336" s="13" t="s">
        <v>2595</v>
      </c>
      <c r="AC336" s="13" t="s">
        <v>2387</v>
      </c>
      <c r="AD336" s="13" t="s">
        <v>373</v>
      </c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</row>
    <row r="337" spans="1:40" ht="20.100000000000001" customHeight="1">
      <c r="A337" s="11">
        <v>336</v>
      </c>
      <c r="B337" s="12" t="s">
        <v>38</v>
      </c>
      <c r="C337" s="12" t="s">
        <v>38</v>
      </c>
      <c r="D337" s="13" t="s">
        <v>2312</v>
      </c>
      <c r="E337" s="11"/>
      <c r="F337" s="12"/>
      <c r="G337" s="13" t="str">
        <f>"9780786488520"</f>
        <v>9780786488520</v>
      </c>
      <c r="H337" s="13" t="s">
        <v>1445</v>
      </c>
      <c r="I337" s="11" t="s">
        <v>2785</v>
      </c>
      <c r="J337" s="11"/>
      <c r="K337" s="11"/>
      <c r="L337" s="11"/>
      <c r="M337" s="13" t="s">
        <v>2187</v>
      </c>
      <c r="N337" s="12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3" t="s">
        <v>2766</v>
      </c>
      <c r="AB337" s="13" t="s">
        <v>2596</v>
      </c>
      <c r="AC337" s="13" t="s">
        <v>2333</v>
      </c>
      <c r="AD337" s="13" t="s">
        <v>374</v>
      </c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</row>
    <row r="338" spans="1:40" ht="20.100000000000001" customHeight="1">
      <c r="A338" s="11">
        <v>337</v>
      </c>
      <c r="B338" s="12" t="s">
        <v>38</v>
      </c>
      <c r="C338" s="12" t="s">
        <v>38</v>
      </c>
      <c r="D338" s="13" t="s">
        <v>2312</v>
      </c>
      <c r="E338" s="11"/>
      <c r="F338" s="12"/>
      <c r="G338" s="13" t="str">
        <f>"9783527644056"</f>
        <v>9783527644056</v>
      </c>
      <c r="H338" s="13" t="s">
        <v>1446</v>
      </c>
      <c r="I338" s="11" t="s">
        <v>2785</v>
      </c>
      <c r="J338" s="11"/>
      <c r="K338" s="11"/>
      <c r="L338" s="11"/>
      <c r="M338" s="13" t="s">
        <v>2176</v>
      </c>
      <c r="N338" s="12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3" t="s">
        <v>2766</v>
      </c>
      <c r="AB338" s="13">
        <v>668.90300000000002</v>
      </c>
      <c r="AC338" s="13" t="s">
        <v>2403</v>
      </c>
      <c r="AD338" s="13" t="s">
        <v>375</v>
      </c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</row>
    <row r="339" spans="1:40" ht="20.100000000000001" customHeight="1">
      <c r="A339" s="11">
        <v>338</v>
      </c>
      <c r="B339" s="12" t="s">
        <v>38</v>
      </c>
      <c r="C339" s="12" t="s">
        <v>38</v>
      </c>
      <c r="D339" s="13" t="s">
        <v>2312</v>
      </c>
      <c r="E339" s="11"/>
      <c r="F339" s="12"/>
      <c r="G339" s="13" t="str">
        <f>"9780814733042"</f>
        <v>9780814733042</v>
      </c>
      <c r="H339" s="13" t="s">
        <v>1447</v>
      </c>
      <c r="I339" s="11" t="s">
        <v>2784</v>
      </c>
      <c r="J339" s="11"/>
      <c r="K339" s="11"/>
      <c r="L339" s="11"/>
      <c r="M339" s="13" t="s">
        <v>2195</v>
      </c>
      <c r="N339" s="12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3" t="s">
        <v>2766</v>
      </c>
      <c r="AB339" s="13">
        <v>364.66097300000001</v>
      </c>
      <c r="AC339" s="13" t="s">
        <v>2318</v>
      </c>
      <c r="AD339" s="13" t="s">
        <v>376</v>
      </c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</row>
    <row r="340" spans="1:40" ht="20.100000000000001" customHeight="1">
      <c r="A340" s="11">
        <v>339</v>
      </c>
      <c r="B340" s="12" t="s">
        <v>38</v>
      </c>
      <c r="C340" s="12" t="s">
        <v>38</v>
      </c>
      <c r="D340" s="13" t="s">
        <v>2312</v>
      </c>
      <c r="E340" s="11"/>
      <c r="F340" s="12"/>
      <c r="G340" s="13" t="str">
        <f>"9780814739389"</f>
        <v>9780814739389</v>
      </c>
      <c r="H340" s="13" t="s">
        <v>1448</v>
      </c>
      <c r="I340" s="11" t="s">
        <v>2785</v>
      </c>
      <c r="J340" s="11"/>
      <c r="K340" s="11"/>
      <c r="L340" s="11"/>
      <c r="M340" s="13" t="s">
        <v>2195</v>
      </c>
      <c r="N340" s="12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3" t="s">
        <v>2766</v>
      </c>
      <c r="AB340" s="13">
        <v>362.10973000000001</v>
      </c>
      <c r="AC340" s="13" t="s">
        <v>2404</v>
      </c>
      <c r="AD340" s="13" t="s">
        <v>377</v>
      </c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</row>
    <row r="341" spans="1:40" ht="20.100000000000001" customHeight="1">
      <c r="A341" s="11">
        <v>340</v>
      </c>
      <c r="B341" s="12" t="s">
        <v>38</v>
      </c>
      <c r="C341" s="12" t="s">
        <v>38</v>
      </c>
      <c r="D341" s="13" t="s">
        <v>2312</v>
      </c>
      <c r="E341" s="11"/>
      <c r="F341" s="12"/>
      <c r="G341" s="13" t="str">
        <f>"9780814777466"</f>
        <v>9780814777466</v>
      </c>
      <c r="H341" s="13" t="s">
        <v>1449</v>
      </c>
      <c r="I341" s="11" t="s">
        <v>2784</v>
      </c>
      <c r="J341" s="11"/>
      <c r="K341" s="11"/>
      <c r="L341" s="11"/>
      <c r="M341" s="13" t="s">
        <v>2195</v>
      </c>
      <c r="N341" s="12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3" t="s">
        <v>2766</v>
      </c>
      <c r="AB341" s="13">
        <v>200.83</v>
      </c>
      <c r="AC341" s="13" t="s">
        <v>2323</v>
      </c>
      <c r="AD341" s="13" t="s">
        <v>378</v>
      </c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</row>
    <row r="342" spans="1:40" ht="20.100000000000001" customHeight="1">
      <c r="A342" s="11">
        <v>341</v>
      </c>
      <c r="B342" s="12" t="s">
        <v>38</v>
      </c>
      <c r="C342" s="12" t="s">
        <v>38</v>
      </c>
      <c r="D342" s="13" t="s">
        <v>2312</v>
      </c>
      <c r="E342" s="11"/>
      <c r="F342" s="12"/>
      <c r="G342" s="13" t="str">
        <f>"9780813347387"</f>
        <v>9780813347387</v>
      </c>
      <c r="H342" s="13" t="s">
        <v>1450</v>
      </c>
      <c r="I342" s="11" t="s">
        <v>2785</v>
      </c>
      <c r="J342" s="11"/>
      <c r="K342" s="11"/>
      <c r="L342" s="11"/>
      <c r="M342" s="13" t="s">
        <v>2175</v>
      </c>
      <c r="N342" s="12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3" t="s">
        <v>2766</v>
      </c>
      <c r="AB342" s="13">
        <v>909</v>
      </c>
      <c r="AC342" s="13" t="s">
        <v>2372</v>
      </c>
      <c r="AD342" s="13" t="s">
        <v>379</v>
      </c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</row>
    <row r="343" spans="1:40" ht="20.100000000000001" customHeight="1">
      <c r="A343" s="11">
        <v>342</v>
      </c>
      <c r="B343" s="12" t="s">
        <v>38</v>
      </c>
      <c r="C343" s="12" t="s">
        <v>38</v>
      </c>
      <c r="D343" s="13" t="s">
        <v>2312</v>
      </c>
      <c r="E343" s="11"/>
      <c r="F343" s="12"/>
      <c r="G343" s="13" t="str">
        <f>"9781118255537"</f>
        <v>9781118255537</v>
      </c>
      <c r="H343" s="13" t="s">
        <v>1451</v>
      </c>
      <c r="I343" s="11" t="s">
        <v>2785</v>
      </c>
      <c r="J343" s="11"/>
      <c r="K343" s="11"/>
      <c r="L343" s="11"/>
      <c r="M343" s="13" t="s">
        <v>2176</v>
      </c>
      <c r="N343" s="12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3" t="s">
        <v>2766</v>
      </c>
      <c r="AB343" s="13">
        <v>299.60000000000002</v>
      </c>
      <c r="AC343" s="13" t="s">
        <v>2323</v>
      </c>
      <c r="AD343" s="13" t="s">
        <v>380</v>
      </c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</row>
    <row r="344" spans="1:40" ht="20.100000000000001" customHeight="1">
      <c r="A344" s="11">
        <v>343</v>
      </c>
      <c r="B344" s="12" t="s">
        <v>38</v>
      </c>
      <c r="C344" s="12" t="s">
        <v>38</v>
      </c>
      <c r="D344" s="13" t="s">
        <v>2312</v>
      </c>
      <c r="E344" s="11"/>
      <c r="F344" s="12"/>
      <c r="G344" s="13" t="str">
        <f>"9781444355369"</f>
        <v>9781444355369</v>
      </c>
      <c r="H344" s="13" t="s">
        <v>1452</v>
      </c>
      <c r="I344" s="11" t="s">
        <v>2785</v>
      </c>
      <c r="J344" s="11"/>
      <c r="K344" s="11"/>
      <c r="L344" s="11"/>
      <c r="M344" s="13" t="s">
        <v>2176</v>
      </c>
      <c r="N344" s="12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3" t="s">
        <v>2766</v>
      </c>
      <c r="AB344" s="13">
        <v>201.7</v>
      </c>
      <c r="AC344" s="13" t="s">
        <v>2323</v>
      </c>
      <c r="AD344" s="13" t="s">
        <v>381</v>
      </c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</row>
    <row r="345" spans="1:40" ht="20.100000000000001" customHeight="1">
      <c r="A345" s="11">
        <v>344</v>
      </c>
      <c r="B345" s="12" t="s">
        <v>38</v>
      </c>
      <c r="C345" s="12" t="s">
        <v>38</v>
      </c>
      <c r="D345" s="13" t="s">
        <v>2312</v>
      </c>
      <c r="E345" s="11"/>
      <c r="F345" s="12"/>
      <c r="G345" s="13" t="str">
        <f>"9781444355963"</f>
        <v>9781444355963</v>
      </c>
      <c r="H345" s="13" t="s">
        <v>1453</v>
      </c>
      <c r="I345" s="11" t="s">
        <v>2785</v>
      </c>
      <c r="J345" s="11"/>
      <c r="K345" s="11"/>
      <c r="L345" s="11"/>
      <c r="M345" s="13" t="s">
        <v>2176</v>
      </c>
      <c r="N345" s="12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3" t="s">
        <v>2766</v>
      </c>
      <c r="AB345" s="13">
        <v>791.43095100000005</v>
      </c>
      <c r="AC345" s="13" t="s">
        <v>2315</v>
      </c>
      <c r="AD345" s="13" t="s">
        <v>382</v>
      </c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</row>
    <row r="346" spans="1:40" ht="20.100000000000001" customHeight="1">
      <c r="A346" s="11">
        <v>345</v>
      </c>
      <c r="B346" s="12" t="s">
        <v>38</v>
      </c>
      <c r="C346" s="12" t="s">
        <v>38</v>
      </c>
      <c r="D346" s="13" t="s">
        <v>2312</v>
      </c>
      <c r="E346" s="11"/>
      <c r="F346" s="12"/>
      <c r="G346" s="13" t="str">
        <f>"9781118223598"</f>
        <v>9781118223598</v>
      </c>
      <c r="H346" s="13" t="s">
        <v>1454</v>
      </c>
      <c r="I346" s="11" t="s">
        <v>2785</v>
      </c>
      <c r="J346" s="11"/>
      <c r="K346" s="11"/>
      <c r="L346" s="11"/>
      <c r="M346" s="13" t="s">
        <v>2176</v>
      </c>
      <c r="N346" s="12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3" t="s">
        <v>2766</v>
      </c>
      <c r="AB346" s="13">
        <v>428.00709999999998</v>
      </c>
      <c r="AC346" s="13" t="s">
        <v>2345</v>
      </c>
      <c r="AD346" s="13" t="s">
        <v>383</v>
      </c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</row>
    <row r="347" spans="1:40" ht="20.100000000000001" customHeight="1">
      <c r="A347" s="11">
        <v>346</v>
      </c>
      <c r="B347" s="12" t="s">
        <v>38</v>
      </c>
      <c r="C347" s="12" t="s">
        <v>38</v>
      </c>
      <c r="D347" s="13" t="s">
        <v>2312</v>
      </c>
      <c r="E347" s="11"/>
      <c r="F347" s="12"/>
      <c r="G347" s="13" t="str">
        <f>"9780786490677"</f>
        <v>9780786490677</v>
      </c>
      <c r="H347" s="13" t="s">
        <v>1455</v>
      </c>
      <c r="I347" s="11" t="s">
        <v>2785</v>
      </c>
      <c r="J347" s="11"/>
      <c r="K347" s="11"/>
      <c r="L347" s="11"/>
      <c r="M347" s="13" t="s">
        <v>2187</v>
      </c>
      <c r="N347" s="12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3" t="s">
        <v>2766</v>
      </c>
      <c r="AB347" s="13">
        <v>1.51</v>
      </c>
      <c r="AC347" s="13" t="s">
        <v>2374</v>
      </c>
      <c r="AD347" s="13" t="s">
        <v>384</v>
      </c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</row>
    <row r="348" spans="1:40" ht="20.100000000000001" customHeight="1">
      <c r="A348" s="11">
        <v>347</v>
      </c>
      <c r="B348" s="12" t="s">
        <v>38</v>
      </c>
      <c r="C348" s="12" t="s">
        <v>38</v>
      </c>
      <c r="D348" s="13" t="s">
        <v>2312</v>
      </c>
      <c r="E348" s="11"/>
      <c r="F348" s="12"/>
      <c r="G348" s="13" t="str">
        <f>"9780199705757"</f>
        <v>9780199705757</v>
      </c>
      <c r="H348" s="13" t="s">
        <v>1456</v>
      </c>
      <c r="I348" s="11" t="s">
        <v>2784</v>
      </c>
      <c r="J348" s="11"/>
      <c r="K348" s="11"/>
      <c r="L348" s="11"/>
      <c r="M348" s="13" t="s">
        <v>2188</v>
      </c>
      <c r="N348" s="12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3" t="s">
        <v>2766</v>
      </c>
      <c r="AB348" s="13">
        <v>616.4</v>
      </c>
      <c r="AC348" s="13" t="s">
        <v>2328</v>
      </c>
      <c r="AD348" s="13" t="s">
        <v>385</v>
      </c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</row>
    <row r="349" spans="1:40" ht="20.100000000000001" customHeight="1">
      <c r="A349" s="11">
        <v>348</v>
      </c>
      <c r="B349" s="12" t="s">
        <v>38</v>
      </c>
      <c r="C349" s="12" t="s">
        <v>38</v>
      </c>
      <c r="D349" s="13" t="s">
        <v>2312</v>
      </c>
      <c r="E349" s="11"/>
      <c r="F349" s="12"/>
      <c r="G349" s="13" t="str">
        <f>"9780199798247"</f>
        <v>9780199798247</v>
      </c>
      <c r="H349" s="13" t="s">
        <v>1457</v>
      </c>
      <c r="I349" s="11" t="s">
        <v>2785</v>
      </c>
      <c r="J349" s="11"/>
      <c r="K349" s="11"/>
      <c r="L349" s="11"/>
      <c r="M349" s="13" t="s">
        <v>2188</v>
      </c>
      <c r="N349" s="12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3" t="s">
        <v>2766</v>
      </c>
      <c r="AB349" s="13">
        <v>338.37270000000001</v>
      </c>
      <c r="AC349" s="13" t="s">
        <v>2405</v>
      </c>
      <c r="AD349" s="13" t="s">
        <v>386</v>
      </c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</row>
    <row r="350" spans="1:40" ht="20.100000000000001" customHeight="1">
      <c r="A350" s="11">
        <v>349</v>
      </c>
      <c r="B350" s="12" t="s">
        <v>38</v>
      </c>
      <c r="C350" s="12" t="s">
        <v>38</v>
      </c>
      <c r="D350" s="13" t="s">
        <v>2312</v>
      </c>
      <c r="E350" s="11"/>
      <c r="F350" s="12"/>
      <c r="G350" s="13" t="str">
        <f>"9780199938223"</f>
        <v>9780199938223</v>
      </c>
      <c r="H350" s="13" t="s">
        <v>1458</v>
      </c>
      <c r="I350" s="11" t="s">
        <v>2785</v>
      </c>
      <c r="J350" s="11"/>
      <c r="K350" s="11"/>
      <c r="L350" s="11"/>
      <c r="M350" s="13" t="s">
        <v>2188</v>
      </c>
      <c r="N350" s="12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3" t="s">
        <v>2766</v>
      </c>
      <c r="AB350" s="13">
        <v>956.1</v>
      </c>
      <c r="AC350" s="13" t="s">
        <v>2317</v>
      </c>
      <c r="AD350" s="13" t="s">
        <v>387</v>
      </c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</row>
    <row r="351" spans="1:40" ht="20.100000000000001" customHeight="1">
      <c r="A351" s="11">
        <v>350</v>
      </c>
      <c r="B351" s="12" t="s">
        <v>38</v>
      </c>
      <c r="C351" s="12" t="s">
        <v>38</v>
      </c>
      <c r="D351" s="13" t="s">
        <v>2312</v>
      </c>
      <c r="E351" s="11"/>
      <c r="F351" s="12"/>
      <c r="G351" s="13" t="str">
        <f>"9780199891764"</f>
        <v>9780199891764</v>
      </c>
      <c r="H351" s="13" t="s">
        <v>1459</v>
      </c>
      <c r="I351" s="11" t="s">
        <v>2785</v>
      </c>
      <c r="J351" s="11"/>
      <c r="K351" s="11"/>
      <c r="L351" s="11"/>
      <c r="M351" s="13" t="s">
        <v>2188</v>
      </c>
      <c r="N351" s="12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3" t="s">
        <v>2766</v>
      </c>
      <c r="AB351" s="13" t="s">
        <v>2597</v>
      </c>
      <c r="AC351" s="13" t="s">
        <v>2406</v>
      </c>
      <c r="AD351" s="13" t="s">
        <v>388</v>
      </c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</row>
    <row r="352" spans="1:40" ht="20.100000000000001" customHeight="1">
      <c r="A352" s="11">
        <v>351</v>
      </c>
      <c r="B352" s="12" t="s">
        <v>38</v>
      </c>
      <c r="C352" s="12" t="s">
        <v>38</v>
      </c>
      <c r="D352" s="13" t="s">
        <v>2312</v>
      </c>
      <c r="E352" s="11"/>
      <c r="F352" s="12"/>
      <c r="G352" s="13" t="str">
        <f>"9780199921478"</f>
        <v>9780199921478</v>
      </c>
      <c r="H352" s="13" t="s">
        <v>1460</v>
      </c>
      <c r="I352" s="11" t="s">
        <v>2785</v>
      </c>
      <c r="J352" s="11"/>
      <c r="K352" s="11"/>
      <c r="L352" s="11"/>
      <c r="M352" s="13" t="s">
        <v>2188</v>
      </c>
      <c r="N352" s="12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3" t="s">
        <v>2766</v>
      </c>
      <c r="AB352" s="13">
        <v>612.1</v>
      </c>
      <c r="AC352" s="13" t="s">
        <v>2394</v>
      </c>
      <c r="AD352" s="13" t="s">
        <v>389</v>
      </c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</row>
    <row r="353" spans="1:40" ht="20.100000000000001" customHeight="1">
      <c r="A353" s="11">
        <v>352</v>
      </c>
      <c r="B353" s="12" t="s">
        <v>38</v>
      </c>
      <c r="C353" s="12" t="s">
        <v>38</v>
      </c>
      <c r="D353" s="13" t="s">
        <v>2312</v>
      </c>
      <c r="E353" s="11"/>
      <c r="F353" s="12"/>
      <c r="G353" s="13" t="str">
        <f>"9780199830275"</f>
        <v>9780199830275</v>
      </c>
      <c r="H353" s="13" t="s">
        <v>1461</v>
      </c>
      <c r="I353" s="11" t="s">
        <v>2785</v>
      </c>
      <c r="J353" s="11"/>
      <c r="K353" s="11"/>
      <c r="L353" s="11"/>
      <c r="M353" s="13" t="s">
        <v>2188</v>
      </c>
      <c r="N353" s="12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3" t="s">
        <v>2766</v>
      </c>
      <c r="AB353" s="13">
        <v>962.404</v>
      </c>
      <c r="AC353" s="13" t="s">
        <v>2317</v>
      </c>
      <c r="AD353" s="13" t="s">
        <v>390</v>
      </c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</row>
    <row r="354" spans="1:40" ht="20.100000000000001" customHeight="1">
      <c r="A354" s="11">
        <v>353</v>
      </c>
      <c r="B354" s="12" t="s">
        <v>38</v>
      </c>
      <c r="C354" s="12" t="s">
        <v>38</v>
      </c>
      <c r="D354" s="13" t="s">
        <v>2312</v>
      </c>
      <c r="E354" s="11"/>
      <c r="F354" s="12"/>
      <c r="G354" s="13" t="str">
        <f>"9781139811422"</f>
        <v>9781139811422</v>
      </c>
      <c r="H354" s="13" t="s">
        <v>1462</v>
      </c>
      <c r="I354" s="11" t="s">
        <v>2783</v>
      </c>
      <c r="J354" s="11"/>
      <c r="K354" s="11"/>
      <c r="L354" s="11"/>
      <c r="M354" s="13" t="s">
        <v>2177</v>
      </c>
      <c r="N354" s="12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3" t="s">
        <v>2766</v>
      </c>
      <c r="AB354" s="13">
        <v>515.79999999999995</v>
      </c>
      <c r="AC354" s="13" t="s">
        <v>2322</v>
      </c>
      <c r="AD354" s="13" t="s">
        <v>391</v>
      </c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</row>
    <row r="355" spans="1:40" ht="20.100000000000001" customHeight="1">
      <c r="A355" s="11">
        <v>354</v>
      </c>
      <c r="B355" s="12" t="s">
        <v>38</v>
      </c>
      <c r="C355" s="12" t="s">
        <v>38</v>
      </c>
      <c r="D355" s="13" t="s">
        <v>2312</v>
      </c>
      <c r="E355" s="11"/>
      <c r="F355" s="12"/>
      <c r="G355" s="13" t="str">
        <f>"9781610486422"</f>
        <v>9781610486422</v>
      </c>
      <c r="H355" s="13" t="s">
        <v>1463</v>
      </c>
      <c r="I355" s="11" t="s">
        <v>2785</v>
      </c>
      <c r="J355" s="11"/>
      <c r="K355" s="11"/>
      <c r="L355" s="11"/>
      <c r="M355" s="13" t="s">
        <v>2196</v>
      </c>
      <c r="N355" s="12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3" t="s">
        <v>2766</v>
      </c>
      <c r="AB355" s="13" t="s">
        <v>2598</v>
      </c>
      <c r="AC355" s="13" t="s">
        <v>2349</v>
      </c>
      <c r="AD355" s="13" t="s">
        <v>392</v>
      </c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</row>
    <row r="356" spans="1:40" ht="20.100000000000001" customHeight="1">
      <c r="A356" s="11">
        <v>355</v>
      </c>
      <c r="B356" s="12" t="s">
        <v>38</v>
      </c>
      <c r="C356" s="12" t="s">
        <v>38</v>
      </c>
      <c r="D356" s="13" t="s">
        <v>2312</v>
      </c>
      <c r="E356" s="11"/>
      <c r="F356" s="12"/>
      <c r="G356" s="13" t="str">
        <f>"9781118337400"</f>
        <v>9781118337400</v>
      </c>
      <c r="H356" s="13" t="s">
        <v>1464</v>
      </c>
      <c r="I356" s="11" t="s">
        <v>2785</v>
      </c>
      <c r="J356" s="11"/>
      <c r="K356" s="11"/>
      <c r="L356" s="11"/>
      <c r="M356" s="13" t="s">
        <v>2176</v>
      </c>
      <c r="N356" s="12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3" t="s">
        <v>2766</v>
      </c>
      <c r="AB356" s="13">
        <v>150</v>
      </c>
      <c r="AC356" s="13" t="s">
        <v>2346</v>
      </c>
      <c r="AD356" s="13" t="s">
        <v>393</v>
      </c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</row>
    <row r="357" spans="1:40" ht="20.100000000000001" customHeight="1">
      <c r="A357" s="11">
        <v>356</v>
      </c>
      <c r="B357" s="12" t="s">
        <v>38</v>
      </c>
      <c r="C357" s="12" t="s">
        <v>38</v>
      </c>
      <c r="D357" s="13" t="s">
        <v>2312</v>
      </c>
      <c r="E357" s="11"/>
      <c r="F357" s="12"/>
      <c r="G357" s="13" t="str">
        <f>"9781118404430"</f>
        <v>9781118404430</v>
      </c>
      <c r="H357" s="13" t="s">
        <v>1465</v>
      </c>
      <c r="I357" s="11" t="s">
        <v>2785</v>
      </c>
      <c r="J357" s="11"/>
      <c r="K357" s="11"/>
      <c r="L357" s="11"/>
      <c r="M357" s="13" t="s">
        <v>2176</v>
      </c>
      <c r="N357" s="12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3" t="s">
        <v>2766</v>
      </c>
      <c r="AB357" s="13"/>
      <c r="AC357" s="13" t="s">
        <v>2333</v>
      </c>
      <c r="AD357" s="13" t="s">
        <v>394</v>
      </c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</row>
    <row r="358" spans="1:40" ht="20.100000000000001" customHeight="1">
      <c r="A358" s="11">
        <v>357</v>
      </c>
      <c r="B358" s="12" t="s">
        <v>38</v>
      </c>
      <c r="C358" s="12" t="s">
        <v>38</v>
      </c>
      <c r="D358" s="13" t="s">
        <v>2312</v>
      </c>
      <c r="E358" s="11"/>
      <c r="F358" s="12"/>
      <c r="G358" s="13" t="str">
        <f>"9780786490448"</f>
        <v>9780786490448</v>
      </c>
      <c r="H358" s="13" t="s">
        <v>1466</v>
      </c>
      <c r="I358" s="11" t="s">
        <v>2785</v>
      </c>
      <c r="J358" s="11"/>
      <c r="K358" s="11"/>
      <c r="L358" s="11"/>
      <c r="M358" s="13" t="s">
        <v>2187</v>
      </c>
      <c r="N358" s="12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3" t="s">
        <v>2766</v>
      </c>
      <c r="AB358" s="13">
        <v>796.35709220000001</v>
      </c>
      <c r="AC358" s="13" t="s">
        <v>2338</v>
      </c>
      <c r="AD358" s="13" t="s">
        <v>395</v>
      </c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</row>
    <row r="359" spans="1:40" ht="20.100000000000001" customHeight="1">
      <c r="A359" s="11">
        <v>358</v>
      </c>
      <c r="B359" s="12" t="s">
        <v>38</v>
      </c>
      <c r="C359" s="12" t="s">
        <v>38</v>
      </c>
      <c r="D359" s="13" t="s">
        <v>2312</v>
      </c>
      <c r="E359" s="11"/>
      <c r="F359" s="12"/>
      <c r="G359" s="13" t="str">
        <f>"9780810873940"</f>
        <v>9780810873940</v>
      </c>
      <c r="H359" s="13" t="s">
        <v>1467</v>
      </c>
      <c r="I359" s="11" t="s">
        <v>2785</v>
      </c>
      <c r="J359" s="11"/>
      <c r="K359" s="11"/>
      <c r="L359" s="11"/>
      <c r="M359" s="13" t="s">
        <v>2196</v>
      </c>
      <c r="N359" s="12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3" t="s">
        <v>2766</v>
      </c>
      <c r="AB359" s="13" t="s">
        <v>2599</v>
      </c>
      <c r="AC359" s="13" t="s">
        <v>2313</v>
      </c>
      <c r="AD359" s="13" t="s">
        <v>396</v>
      </c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</row>
    <row r="360" spans="1:40" ht="20.100000000000001" customHeight="1">
      <c r="A360" s="11">
        <v>359</v>
      </c>
      <c r="B360" s="12" t="s">
        <v>38</v>
      </c>
      <c r="C360" s="12" t="s">
        <v>38</v>
      </c>
      <c r="D360" s="13" t="s">
        <v>2312</v>
      </c>
      <c r="E360" s="11"/>
      <c r="F360" s="12"/>
      <c r="G360" s="13" t="str">
        <f>"9780231503792"</f>
        <v>9780231503792</v>
      </c>
      <c r="H360" s="13" t="s">
        <v>1468</v>
      </c>
      <c r="I360" s="11" t="s">
        <v>2777</v>
      </c>
      <c r="J360" s="11"/>
      <c r="K360" s="11"/>
      <c r="L360" s="11"/>
      <c r="M360" s="13" t="s">
        <v>2197</v>
      </c>
      <c r="N360" s="12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3" t="s">
        <v>2766</v>
      </c>
      <c r="AB360" s="13" t="s">
        <v>2600</v>
      </c>
      <c r="AC360" s="13" t="s">
        <v>2313</v>
      </c>
      <c r="AD360" s="13" t="s">
        <v>397</v>
      </c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</row>
    <row r="361" spans="1:40" ht="20.100000000000001" customHeight="1">
      <c r="A361" s="11">
        <v>360</v>
      </c>
      <c r="B361" s="12" t="s">
        <v>38</v>
      </c>
      <c r="C361" s="12" t="s">
        <v>38</v>
      </c>
      <c r="D361" s="13" t="s">
        <v>2312</v>
      </c>
      <c r="E361" s="11"/>
      <c r="F361" s="12"/>
      <c r="G361" s="13" t="str">
        <f>"9781139079426"</f>
        <v>9781139079426</v>
      </c>
      <c r="H361" s="13" t="s">
        <v>1469</v>
      </c>
      <c r="I361" s="11" t="s">
        <v>2783</v>
      </c>
      <c r="J361" s="11"/>
      <c r="K361" s="11"/>
      <c r="L361" s="11"/>
      <c r="M361" s="13" t="s">
        <v>2177</v>
      </c>
      <c r="N361" s="12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3" t="s">
        <v>2766</v>
      </c>
      <c r="AB361" s="13">
        <v>616.85260000000005</v>
      </c>
      <c r="AC361" s="13" t="s">
        <v>2333</v>
      </c>
      <c r="AD361" s="13" t="s">
        <v>398</v>
      </c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</row>
    <row r="362" spans="1:40" ht="20.100000000000001" customHeight="1">
      <c r="A362" s="11">
        <v>361</v>
      </c>
      <c r="B362" s="12" t="s">
        <v>38</v>
      </c>
      <c r="C362" s="12" t="s">
        <v>38</v>
      </c>
      <c r="D362" s="13" t="s">
        <v>2312</v>
      </c>
      <c r="E362" s="11"/>
      <c r="F362" s="12"/>
      <c r="G362" s="13" t="str">
        <f>"9780786490387"</f>
        <v>9780786490387</v>
      </c>
      <c r="H362" s="13" t="s">
        <v>1470</v>
      </c>
      <c r="I362" s="11" t="s">
        <v>2785</v>
      </c>
      <c r="J362" s="11"/>
      <c r="K362" s="11"/>
      <c r="L362" s="11"/>
      <c r="M362" s="13" t="s">
        <v>2187</v>
      </c>
      <c r="N362" s="12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3" t="s">
        <v>2766</v>
      </c>
      <c r="AB362" s="13"/>
      <c r="AC362" s="13" t="s">
        <v>2407</v>
      </c>
      <c r="AD362" s="13" t="s">
        <v>399</v>
      </c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</row>
    <row r="363" spans="1:40" ht="20.100000000000001" customHeight="1">
      <c r="A363" s="11">
        <v>362</v>
      </c>
      <c r="B363" s="12" t="s">
        <v>38</v>
      </c>
      <c r="C363" s="12" t="s">
        <v>38</v>
      </c>
      <c r="D363" s="13" t="s">
        <v>2312</v>
      </c>
      <c r="E363" s="11"/>
      <c r="F363" s="12"/>
      <c r="G363" s="13" t="str">
        <f>"9781118285275"</f>
        <v>9781118285275</v>
      </c>
      <c r="H363" s="13" t="s">
        <v>1471</v>
      </c>
      <c r="I363" s="11" t="s">
        <v>2785</v>
      </c>
      <c r="J363" s="11"/>
      <c r="K363" s="11"/>
      <c r="L363" s="11"/>
      <c r="M363" s="13" t="s">
        <v>2176</v>
      </c>
      <c r="N363" s="12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3" t="s">
        <v>2766</v>
      </c>
      <c r="AB363" s="13"/>
      <c r="AC363" s="13" t="s">
        <v>2346</v>
      </c>
      <c r="AD363" s="13" t="s">
        <v>400</v>
      </c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</row>
    <row r="364" spans="1:40" ht="20.100000000000001" customHeight="1">
      <c r="A364" s="11">
        <v>363</v>
      </c>
      <c r="B364" s="12" t="s">
        <v>38</v>
      </c>
      <c r="C364" s="12" t="s">
        <v>38</v>
      </c>
      <c r="D364" s="13" t="s">
        <v>2312</v>
      </c>
      <c r="E364" s="11"/>
      <c r="F364" s="12"/>
      <c r="G364" s="13" t="str">
        <f>"9781118285343"</f>
        <v>9781118285343</v>
      </c>
      <c r="H364" s="13" t="s">
        <v>1472</v>
      </c>
      <c r="I364" s="11" t="s">
        <v>2785</v>
      </c>
      <c r="J364" s="11"/>
      <c r="K364" s="11"/>
      <c r="L364" s="11"/>
      <c r="M364" s="13" t="s">
        <v>2176</v>
      </c>
      <c r="N364" s="12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3" t="s">
        <v>2766</v>
      </c>
      <c r="AB364" s="13">
        <v>370.15</v>
      </c>
      <c r="AC364" s="13" t="s">
        <v>2349</v>
      </c>
      <c r="AD364" s="13" t="s">
        <v>401</v>
      </c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</row>
    <row r="365" spans="1:40" ht="20.100000000000001" customHeight="1">
      <c r="A365" s="11">
        <v>364</v>
      </c>
      <c r="B365" s="12" t="s">
        <v>38</v>
      </c>
      <c r="C365" s="12" t="s">
        <v>38</v>
      </c>
      <c r="D365" s="13" t="s">
        <v>2312</v>
      </c>
      <c r="E365" s="11"/>
      <c r="F365" s="12"/>
      <c r="G365" s="13" t="str">
        <f>"9781118286760"</f>
        <v>9781118286760</v>
      </c>
      <c r="H365" s="13" t="s">
        <v>1473</v>
      </c>
      <c r="I365" s="11" t="s">
        <v>2785</v>
      </c>
      <c r="J365" s="11"/>
      <c r="K365" s="11"/>
      <c r="L365" s="11"/>
      <c r="M365" s="13" t="s">
        <v>2176</v>
      </c>
      <c r="N365" s="12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3" t="s">
        <v>2766</v>
      </c>
      <c r="AB365" s="13"/>
      <c r="AC365" s="13" t="s">
        <v>2327</v>
      </c>
      <c r="AD365" s="13" t="s">
        <v>402</v>
      </c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</row>
    <row r="366" spans="1:40" ht="20.100000000000001" customHeight="1">
      <c r="A366" s="11">
        <v>365</v>
      </c>
      <c r="B366" s="12" t="s">
        <v>38</v>
      </c>
      <c r="C366" s="12" t="s">
        <v>38</v>
      </c>
      <c r="D366" s="13" t="s">
        <v>2312</v>
      </c>
      <c r="E366" s="11"/>
      <c r="F366" s="12"/>
      <c r="G366" s="13" t="str">
        <f>"9789004226487"</f>
        <v>9789004226487</v>
      </c>
      <c r="H366" s="13" t="s">
        <v>1474</v>
      </c>
      <c r="I366" s="11" t="s">
        <v>2785</v>
      </c>
      <c r="J366" s="11"/>
      <c r="K366" s="11"/>
      <c r="L366" s="11"/>
      <c r="M366" s="13" t="s">
        <v>2184</v>
      </c>
      <c r="N366" s="12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3" t="s">
        <v>2766</v>
      </c>
      <c r="AB366" s="13" t="s">
        <v>2601</v>
      </c>
      <c r="AC366" s="13" t="s">
        <v>2323</v>
      </c>
      <c r="AD366" s="13" t="s">
        <v>403</v>
      </c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</row>
    <row r="367" spans="1:40" ht="20.100000000000001" customHeight="1">
      <c r="A367" s="11">
        <v>366</v>
      </c>
      <c r="B367" s="12" t="s">
        <v>38</v>
      </c>
      <c r="C367" s="12" t="s">
        <v>38</v>
      </c>
      <c r="D367" s="13" t="s">
        <v>2312</v>
      </c>
      <c r="E367" s="11"/>
      <c r="F367" s="12"/>
      <c r="G367" s="13" t="str">
        <f>"9780786493128"</f>
        <v>9780786493128</v>
      </c>
      <c r="H367" s="13" t="s">
        <v>1475</v>
      </c>
      <c r="I367" s="11" t="s">
        <v>2785</v>
      </c>
      <c r="J367" s="11"/>
      <c r="K367" s="11"/>
      <c r="L367" s="11"/>
      <c r="M367" s="13" t="s">
        <v>2187</v>
      </c>
      <c r="N367" s="12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3" t="s">
        <v>2766</v>
      </c>
      <c r="AB367" s="13">
        <v>973</v>
      </c>
      <c r="AC367" s="13" t="s">
        <v>2317</v>
      </c>
      <c r="AD367" s="13" t="s">
        <v>404</v>
      </c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</row>
    <row r="368" spans="1:40" ht="20.100000000000001" customHeight="1">
      <c r="A368" s="11">
        <v>367</v>
      </c>
      <c r="B368" s="12" t="s">
        <v>38</v>
      </c>
      <c r="C368" s="12" t="s">
        <v>38</v>
      </c>
      <c r="D368" s="13" t="s">
        <v>2312</v>
      </c>
      <c r="E368" s="11"/>
      <c r="F368" s="12"/>
      <c r="G368" s="13" t="str">
        <f>"9780199749751"</f>
        <v>9780199749751</v>
      </c>
      <c r="H368" s="13" t="s">
        <v>1476</v>
      </c>
      <c r="I368" s="11" t="s">
        <v>2784</v>
      </c>
      <c r="J368" s="11"/>
      <c r="K368" s="11"/>
      <c r="L368" s="11"/>
      <c r="M368" s="13" t="s">
        <v>2188</v>
      </c>
      <c r="N368" s="12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3" t="s">
        <v>2766</v>
      </c>
      <c r="AB368" s="13">
        <v>616.99449059999995</v>
      </c>
      <c r="AC368" s="13" t="s">
        <v>2328</v>
      </c>
      <c r="AD368" s="13" t="s">
        <v>405</v>
      </c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</row>
    <row r="369" spans="1:40" ht="20.100000000000001" customHeight="1">
      <c r="A369" s="11">
        <v>368</v>
      </c>
      <c r="B369" s="12" t="s">
        <v>38</v>
      </c>
      <c r="C369" s="12" t="s">
        <v>38</v>
      </c>
      <c r="D369" s="13" t="s">
        <v>2312</v>
      </c>
      <c r="E369" s="11"/>
      <c r="F369" s="12"/>
      <c r="G369" s="13" t="str">
        <f>"9780786489091"</f>
        <v>9780786489091</v>
      </c>
      <c r="H369" s="13" t="s">
        <v>1477</v>
      </c>
      <c r="I369" s="11" t="s">
        <v>2785</v>
      </c>
      <c r="J369" s="11"/>
      <c r="K369" s="11"/>
      <c r="L369" s="11"/>
      <c r="M369" s="13" t="s">
        <v>2187</v>
      </c>
      <c r="N369" s="12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3" t="s">
        <v>2766</v>
      </c>
      <c r="AB369" s="13">
        <v>364.660978</v>
      </c>
      <c r="AC369" s="13" t="s">
        <v>2318</v>
      </c>
      <c r="AD369" s="13" t="s">
        <v>406</v>
      </c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</row>
    <row r="370" spans="1:40" ht="20.100000000000001" customHeight="1">
      <c r="A370" s="11">
        <v>369</v>
      </c>
      <c r="B370" s="12" t="s">
        <v>38</v>
      </c>
      <c r="C370" s="12" t="s">
        <v>38</v>
      </c>
      <c r="D370" s="13" t="s">
        <v>2312</v>
      </c>
      <c r="E370" s="11"/>
      <c r="F370" s="12"/>
      <c r="G370" s="13" t="str">
        <f>"9780786492770"</f>
        <v>9780786492770</v>
      </c>
      <c r="H370" s="13" t="s">
        <v>1478</v>
      </c>
      <c r="I370" s="11" t="s">
        <v>2785</v>
      </c>
      <c r="J370" s="11"/>
      <c r="K370" s="11"/>
      <c r="L370" s="11"/>
      <c r="M370" s="13" t="s">
        <v>2187</v>
      </c>
      <c r="N370" s="12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3" t="s">
        <v>2766</v>
      </c>
      <c r="AB370" s="13" t="s">
        <v>2602</v>
      </c>
      <c r="AC370" s="13" t="s">
        <v>2317</v>
      </c>
      <c r="AD370" s="13" t="s">
        <v>407</v>
      </c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</row>
    <row r="371" spans="1:40" ht="20.100000000000001" customHeight="1">
      <c r="A371" s="11">
        <v>370</v>
      </c>
      <c r="B371" s="12" t="s">
        <v>38</v>
      </c>
      <c r="C371" s="12" t="s">
        <v>38</v>
      </c>
      <c r="D371" s="13" t="s">
        <v>2312</v>
      </c>
      <c r="E371" s="11"/>
      <c r="F371" s="12"/>
      <c r="G371" s="13" t="str">
        <f>"9781118392379"</f>
        <v>9781118392379</v>
      </c>
      <c r="H371" s="13" t="s">
        <v>1479</v>
      </c>
      <c r="I371" s="11" t="s">
        <v>2785</v>
      </c>
      <c r="J371" s="11"/>
      <c r="K371" s="11"/>
      <c r="L371" s="11"/>
      <c r="M371" s="13" t="s">
        <v>2198</v>
      </c>
      <c r="N371" s="12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3" t="s">
        <v>2766</v>
      </c>
      <c r="AB371" s="13"/>
      <c r="AC371" s="13" t="s">
        <v>2383</v>
      </c>
      <c r="AD371" s="13" t="s">
        <v>408</v>
      </c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</row>
    <row r="372" spans="1:40" ht="20.100000000000001" customHeight="1">
      <c r="A372" s="11">
        <v>371</v>
      </c>
      <c r="B372" s="12" t="s">
        <v>38</v>
      </c>
      <c r="C372" s="12" t="s">
        <v>38</v>
      </c>
      <c r="D372" s="13" t="s">
        <v>2312</v>
      </c>
      <c r="E372" s="11"/>
      <c r="F372" s="12"/>
      <c r="G372" s="13" t="str">
        <f>"9781118463239"</f>
        <v>9781118463239</v>
      </c>
      <c r="H372" s="13" t="s">
        <v>1480</v>
      </c>
      <c r="I372" s="11" t="s">
        <v>2785</v>
      </c>
      <c r="J372" s="11"/>
      <c r="K372" s="11"/>
      <c r="L372" s="11"/>
      <c r="M372" s="13" t="s">
        <v>2176</v>
      </c>
      <c r="N372" s="12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3" t="s">
        <v>2766</v>
      </c>
      <c r="AB372" s="13">
        <v>320.60973000000001</v>
      </c>
      <c r="AC372" s="13" t="s">
        <v>2329</v>
      </c>
      <c r="AD372" s="13" t="s">
        <v>409</v>
      </c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</row>
    <row r="373" spans="1:40" ht="20.100000000000001" customHeight="1">
      <c r="A373" s="11">
        <v>372</v>
      </c>
      <c r="B373" s="12" t="s">
        <v>38</v>
      </c>
      <c r="C373" s="12" t="s">
        <v>38</v>
      </c>
      <c r="D373" s="13" t="s">
        <v>2312</v>
      </c>
      <c r="E373" s="11"/>
      <c r="F373" s="12"/>
      <c r="G373" s="13" t="str">
        <f>"9781118454176"</f>
        <v>9781118454176</v>
      </c>
      <c r="H373" s="13" t="s">
        <v>1481</v>
      </c>
      <c r="I373" s="11" t="s">
        <v>2786</v>
      </c>
      <c r="J373" s="11"/>
      <c r="K373" s="11"/>
      <c r="L373" s="11"/>
      <c r="M373" s="13" t="s">
        <v>2176</v>
      </c>
      <c r="N373" s="12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3" t="s">
        <v>2766</v>
      </c>
      <c r="AB373" s="13">
        <v>657.45</v>
      </c>
      <c r="AC373" s="13" t="s">
        <v>2314</v>
      </c>
      <c r="AD373" s="13" t="s">
        <v>410</v>
      </c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</row>
    <row r="374" spans="1:40" ht="20.100000000000001" customHeight="1">
      <c r="A374" s="11">
        <v>373</v>
      </c>
      <c r="B374" s="12" t="s">
        <v>38</v>
      </c>
      <c r="C374" s="12" t="s">
        <v>38</v>
      </c>
      <c r="D374" s="13" t="s">
        <v>2312</v>
      </c>
      <c r="E374" s="11"/>
      <c r="F374" s="12"/>
      <c r="G374" s="13" t="str">
        <f>"9780810873971"</f>
        <v>9780810873971</v>
      </c>
      <c r="H374" s="13" t="s">
        <v>1482</v>
      </c>
      <c r="I374" s="11" t="s">
        <v>2785</v>
      </c>
      <c r="J374" s="11"/>
      <c r="K374" s="11"/>
      <c r="L374" s="11"/>
      <c r="M374" s="13" t="s">
        <v>2196</v>
      </c>
      <c r="N374" s="12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3" t="s">
        <v>2766</v>
      </c>
      <c r="AB374" s="13" t="s">
        <v>2603</v>
      </c>
      <c r="AC374" s="13" t="s">
        <v>2313</v>
      </c>
      <c r="AD374" s="13" t="s">
        <v>411</v>
      </c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</row>
    <row r="375" spans="1:40" ht="20.100000000000001" customHeight="1">
      <c r="A375" s="11">
        <v>374</v>
      </c>
      <c r="B375" s="12" t="s">
        <v>38</v>
      </c>
      <c r="C375" s="12" t="s">
        <v>38</v>
      </c>
      <c r="D375" s="13" t="s">
        <v>2312</v>
      </c>
      <c r="E375" s="11"/>
      <c r="F375" s="12"/>
      <c r="G375" s="13" t="str">
        <f>"9780191631504"</f>
        <v>9780191631504</v>
      </c>
      <c r="H375" s="13" t="s">
        <v>1483</v>
      </c>
      <c r="I375" s="11" t="s">
        <v>2784</v>
      </c>
      <c r="J375" s="11"/>
      <c r="K375" s="11"/>
      <c r="L375" s="11"/>
      <c r="M375" s="13" t="s">
        <v>2188</v>
      </c>
      <c r="N375" s="12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3" t="s">
        <v>2766</v>
      </c>
      <c r="AB375" s="13">
        <v>616.85270000000003</v>
      </c>
      <c r="AC375" s="13" t="s">
        <v>2333</v>
      </c>
      <c r="AD375" s="13" t="s">
        <v>412</v>
      </c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</row>
    <row r="376" spans="1:40" ht="20.100000000000001" customHeight="1">
      <c r="A376" s="11">
        <v>375</v>
      </c>
      <c r="B376" s="12" t="s">
        <v>38</v>
      </c>
      <c r="C376" s="12" t="s">
        <v>38</v>
      </c>
      <c r="D376" s="13" t="s">
        <v>2312</v>
      </c>
      <c r="E376" s="11"/>
      <c r="F376" s="12"/>
      <c r="G376" s="13" t="str">
        <f>"9780786492794"</f>
        <v>9780786492794</v>
      </c>
      <c r="H376" s="13" t="s">
        <v>1484</v>
      </c>
      <c r="I376" s="11" t="s">
        <v>2785</v>
      </c>
      <c r="J376" s="11"/>
      <c r="K376" s="11"/>
      <c r="L376" s="11"/>
      <c r="M376" s="13" t="s">
        <v>2187</v>
      </c>
      <c r="N376" s="12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3" t="s">
        <v>2766</v>
      </c>
      <c r="AB376" s="13">
        <v>792.09730000000002</v>
      </c>
      <c r="AC376" s="13" t="s">
        <v>2315</v>
      </c>
      <c r="AD376" s="13" t="s">
        <v>413</v>
      </c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</row>
    <row r="377" spans="1:40" ht="20.100000000000001" customHeight="1">
      <c r="A377" s="11">
        <v>376</v>
      </c>
      <c r="B377" s="12" t="s">
        <v>38</v>
      </c>
      <c r="C377" s="12" t="s">
        <v>38</v>
      </c>
      <c r="D377" s="13" t="s">
        <v>2312</v>
      </c>
      <c r="E377" s="11"/>
      <c r="F377" s="12"/>
      <c r="G377" s="13" t="str">
        <f>"9781118305478"</f>
        <v>9781118305478</v>
      </c>
      <c r="H377" s="13" t="s">
        <v>1485</v>
      </c>
      <c r="I377" s="11" t="s">
        <v>2785</v>
      </c>
      <c r="J377" s="11"/>
      <c r="K377" s="11"/>
      <c r="L377" s="11"/>
      <c r="M377" s="13" t="s">
        <v>2176</v>
      </c>
      <c r="N377" s="12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3" t="s">
        <v>2766</v>
      </c>
      <c r="AB377" s="13">
        <v>907.2</v>
      </c>
      <c r="AC377" s="13" t="s">
        <v>2372</v>
      </c>
      <c r="AD377" s="13" t="s">
        <v>414</v>
      </c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</row>
    <row r="378" spans="1:40" ht="20.100000000000001" customHeight="1">
      <c r="A378" s="11">
        <v>377</v>
      </c>
      <c r="B378" s="12" t="s">
        <v>38</v>
      </c>
      <c r="C378" s="12" t="s">
        <v>38</v>
      </c>
      <c r="D378" s="13" t="s">
        <v>2312</v>
      </c>
      <c r="E378" s="11"/>
      <c r="F378" s="12"/>
      <c r="G378" s="13" t="str">
        <f>"9780786492954"</f>
        <v>9780786492954</v>
      </c>
      <c r="H378" s="13" t="s">
        <v>1486</v>
      </c>
      <c r="I378" s="11" t="s">
        <v>2785</v>
      </c>
      <c r="J378" s="11"/>
      <c r="K378" s="11"/>
      <c r="L378" s="11"/>
      <c r="M378" s="13" t="s">
        <v>2187</v>
      </c>
      <c r="N378" s="12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3" t="s">
        <v>2766</v>
      </c>
      <c r="AB378" s="13" t="s">
        <v>2604</v>
      </c>
      <c r="AC378" s="13" t="s">
        <v>2338</v>
      </c>
      <c r="AD378" s="13" t="s">
        <v>415</v>
      </c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</row>
    <row r="379" spans="1:40" ht="20.100000000000001" customHeight="1">
      <c r="A379" s="11">
        <v>378</v>
      </c>
      <c r="B379" s="12" t="s">
        <v>38</v>
      </c>
      <c r="C379" s="12" t="s">
        <v>38</v>
      </c>
      <c r="D379" s="13" t="s">
        <v>2312</v>
      </c>
      <c r="E379" s="11"/>
      <c r="F379" s="12"/>
      <c r="G379" s="13" t="str">
        <f>"9781452261737"</f>
        <v>9781452261737</v>
      </c>
      <c r="H379" s="13" t="s">
        <v>1487</v>
      </c>
      <c r="I379" s="11" t="s">
        <v>2783</v>
      </c>
      <c r="J379" s="11"/>
      <c r="K379" s="11"/>
      <c r="L379" s="11"/>
      <c r="M379" s="13" t="s">
        <v>2199</v>
      </c>
      <c r="N379" s="12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3" t="s">
        <v>2766</v>
      </c>
      <c r="AB379" s="13">
        <v>302.5</v>
      </c>
      <c r="AC379" s="13" t="s">
        <v>2385</v>
      </c>
      <c r="AD379" s="13" t="s">
        <v>416</v>
      </c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</row>
    <row r="380" spans="1:40" ht="20.100000000000001" customHeight="1">
      <c r="A380" s="11">
        <v>379</v>
      </c>
      <c r="B380" s="12" t="s">
        <v>38</v>
      </c>
      <c r="C380" s="12" t="s">
        <v>38</v>
      </c>
      <c r="D380" s="13" t="s">
        <v>2312</v>
      </c>
      <c r="E380" s="11"/>
      <c r="F380" s="12"/>
      <c r="G380" s="13" t="str">
        <f>"9781452261508"</f>
        <v>9781452261508</v>
      </c>
      <c r="H380" s="13" t="s">
        <v>1488</v>
      </c>
      <c r="I380" s="11" t="s">
        <v>2780</v>
      </c>
      <c r="J380" s="11"/>
      <c r="K380" s="11"/>
      <c r="L380" s="11"/>
      <c r="M380" s="13" t="s">
        <v>2199</v>
      </c>
      <c r="N380" s="12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3" t="s">
        <v>2766</v>
      </c>
      <c r="AB380" s="13">
        <v>302.3</v>
      </c>
      <c r="AC380" s="13" t="s">
        <v>2318</v>
      </c>
      <c r="AD380" s="13" t="s">
        <v>417</v>
      </c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</row>
    <row r="381" spans="1:40" ht="20.100000000000001" customHeight="1">
      <c r="A381" s="11">
        <v>380</v>
      </c>
      <c r="B381" s="12" t="s">
        <v>38</v>
      </c>
      <c r="C381" s="12" t="s">
        <v>38</v>
      </c>
      <c r="D381" s="13" t="s">
        <v>2312</v>
      </c>
      <c r="E381" s="11"/>
      <c r="F381" s="12"/>
      <c r="G381" s="13" t="str">
        <f>"9781452265643"</f>
        <v>9781452265643</v>
      </c>
      <c r="H381" s="13" t="s">
        <v>1489</v>
      </c>
      <c r="I381" s="11" t="s">
        <v>2777</v>
      </c>
      <c r="J381" s="11"/>
      <c r="K381" s="11"/>
      <c r="L381" s="11"/>
      <c r="M381" s="13" t="s">
        <v>2199</v>
      </c>
      <c r="N381" s="12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3" t="s">
        <v>2766</v>
      </c>
      <c r="AB381" s="13" t="s">
        <v>2605</v>
      </c>
      <c r="AC381" s="13" t="s">
        <v>2408</v>
      </c>
      <c r="AD381" s="13" t="s">
        <v>418</v>
      </c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</row>
    <row r="382" spans="1:40" ht="20.100000000000001" customHeight="1">
      <c r="A382" s="11">
        <v>381</v>
      </c>
      <c r="B382" s="12" t="s">
        <v>38</v>
      </c>
      <c r="C382" s="12" t="s">
        <v>38</v>
      </c>
      <c r="D382" s="13" t="s">
        <v>2312</v>
      </c>
      <c r="E382" s="11"/>
      <c r="F382" s="12"/>
      <c r="G382" s="13" t="str">
        <f>"9781452266169"</f>
        <v>9781452266169</v>
      </c>
      <c r="H382" s="13" t="s">
        <v>1490</v>
      </c>
      <c r="I382" s="11" t="s">
        <v>2780</v>
      </c>
      <c r="J382" s="11"/>
      <c r="K382" s="11"/>
      <c r="L382" s="11"/>
      <c r="M382" s="13" t="s">
        <v>2199</v>
      </c>
      <c r="N382" s="12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3" t="s">
        <v>2766</v>
      </c>
      <c r="AB382" s="13">
        <v>306.90300000000002</v>
      </c>
      <c r="AC382" s="13" t="s">
        <v>2318</v>
      </c>
      <c r="AD382" s="13" t="s">
        <v>419</v>
      </c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</row>
    <row r="383" spans="1:40" ht="20.100000000000001" customHeight="1">
      <c r="A383" s="11">
        <v>382</v>
      </c>
      <c r="B383" s="12" t="s">
        <v>38</v>
      </c>
      <c r="C383" s="12" t="s">
        <v>38</v>
      </c>
      <c r="D383" s="13" t="s">
        <v>2312</v>
      </c>
      <c r="E383" s="11"/>
      <c r="F383" s="12"/>
      <c r="G383" s="13" t="str">
        <f>"9781452266282"</f>
        <v>9781452266282</v>
      </c>
      <c r="H383" s="13" t="s">
        <v>1491</v>
      </c>
      <c r="I383" s="11" t="s">
        <v>2784</v>
      </c>
      <c r="J383" s="11"/>
      <c r="K383" s="11"/>
      <c r="L383" s="11"/>
      <c r="M383" s="13" t="s">
        <v>2199</v>
      </c>
      <c r="N383" s="12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3" t="s">
        <v>2766</v>
      </c>
      <c r="AB383" s="13" t="s">
        <v>2606</v>
      </c>
      <c r="AC383" s="13" t="s">
        <v>2318</v>
      </c>
      <c r="AD383" s="13" t="s">
        <v>420</v>
      </c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</row>
    <row r="384" spans="1:40" ht="20.100000000000001" customHeight="1">
      <c r="A384" s="11">
        <v>383</v>
      </c>
      <c r="B384" s="12" t="s">
        <v>38</v>
      </c>
      <c r="C384" s="12" t="s">
        <v>38</v>
      </c>
      <c r="D384" s="13" t="s">
        <v>2312</v>
      </c>
      <c r="E384" s="11"/>
      <c r="F384" s="12"/>
      <c r="G384" s="13" t="str">
        <f>"9781452265902"</f>
        <v>9781452265902</v>
      </c>
      <c r="H384" s="13" t="s">
        <v>1492</v>
      </c>
      <c r="I384" s="11" t="s">
        <v>2778</v>
      </c>
      <c r="J384" s="11"/>
      <c r="K384" s="11"/>
      <c r="L384" s="11"/>
      <c r="M384" s="13" t="s">
        <v>2199</v>
      </c>
      <c r="N384" s="12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3" t="s">
        <v>2766</v>
      </c>
      <c r="AB384" s="13" t="s">
        <v>2607</v>
      </c>
      <c r="AC384" s="13" t="s">
        <v>2334</v>
      </c>
      <c r="AD384" s="13" t="s">
        <v>421</v>
      </c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</row>
    <row r="385" spans="1:40" ht="20.100000000000001" customHeight="1">
      <c r="A385" s="11">
        <v>384</v>
      </c>
      <c r="B385" s="12" t="s">
        <v>38</v>
      </c>
      <c r="C385" s="12" t="s">
        <v>38</v>
      </c>
      <c r="D385" s="13" t="s">
        <v>2312</v>
      </c>
      <c r="E385" s="11"/>
      <c r="F385" s="12"/>
      <c r="G385" s="13" t="str">
        <f>"9781452266329"</f>
        <v>9781452266329</v>
      </c>
      <c r="H385" s="13" t="s">
        <v>1493</v>
      </c>
      <c r="I385" s="11" t="s">
        <v>2783</v>
      </c>
      <c r="J385" s="11"/>
      <c r="K385" s="11"/>
      <c r="L385" s="11"/>
      <c r="M385" s="13" t="s">
        <v>2199</v>
      </c>
      <c r="N385" s="12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3" t="s">
        <v>2766</v>
      </c>
      <c r="AB385" s="13">
        <v>302.2303</v>
      </c>
      <c r="AC385" s="13" t="s">
        <v>2318</v>
      </c>
      <c r="AD385" s="13" t="s">
        <v>422</v>
      </c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</row>
    <row r="386" spans="1:40" ht="20.100000000000001" customHeight="1">
      <c r="A386" s="11">
        <v>385</v>
      </c>
      <c r="B386" s="12" t="s">
        <v>38</v>
      </c>
      <c r="C386" s="12" t="s">
        <v>38</v>
      </c>
      <c r="D386" s="13" t="s">
        <v>2312</v>
      </c>
      <c r="E386" s="11"/>
      <c r="F386" s="12"/>
      <c r="G386" s="13" t="str">
        <f>"9781452266374"</f>
        <v>9781452266374</v>
      </c>
      <c r="H386" s="13" t="s">
        <v>1494</v>
      </c>
      <c r="I386" s="11" t="s">
        <v>2783</v>
      </c>
      <c r="J386" s="11"/>
      <c r="K386" s="11"/>
      <c r="L386" s="11"/>
      <c r="M386" s="13" t="s">
        <v>2199</v>
      </c>
      <c r="N386" s="12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3" t="s">
        <v>2766</v>
      </c>
      <c r="AB386" s="13" t="s">
        <v>2608</v>
      </c>
      <c r="AC386" s="13" t="s">
        <v>2318</v>
      </c>
      <c r="AD386" s="13" t="s">
        <v>423</v>
      </c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</row>
    <row r="387" spans="1:40" ht="20.100000000000001" customHeight="1">
      <c r="A387" s="11">
        <v>386</v>
      </c>
      <c r="B387" s="12" t="s">
        <v>38</v>
      </c>
      <c r="C387" s="12" t="s">
        <v>38</v>
      </c>
      <c r="D387" s="13" t="s">
        <v>2312</v>
      </c>
      <c r="E387" s="11"/>
      <c r="F387" s="12"/>
      <c r="G387" s="13" t="str">
        <f>"9781452266381"</f>
        <v>9781452266381</v>
      </c>
      <c r="H387" s="13" t="s">
        <v>1495</v>
      </c>
      <c r="I387" s="11" t="s">
        <v>2784</v>
      </c>
      <c r="J387" s="11"/>
      <c r="K387" s="11"/>
      <c r="L387" s="11"/>
      <c r="M387" s="13" t="s">
        <v>2199</v>
      </c>
      <c r="N387" s="12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3" t="s">
        <v>2766</v>
      </c>
      <c r="AB387" s="13">
        <v>363.32503000000003</v>
      </c>
      <c r="AC387" s="13" t="s">
        <v>2318</v>
      </c>
      <c r="AD387" s="13" t="s">
        <v>424</v>
      </c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</row>
    <row r="388" spans="1:40" ht="20.100000000000001" customHeight="1">
      <c r="A388" s="11">
        <v>387</v>
      </c>
      <c r="B388" s="12" t="s">
        <v>38</v>
      </c>
      <c r="C388" s="12" t="s">
        <v>38</v>
      </c>
      <c r="D388" s="13" t="s">
        <v>2312</v>
      </c>
      <c r="E388" s="11"/>
      <c r="F388" s="12"/>
      <c r="G388" s="13" t="str">
        <f>"9781452265780"</f>
        <v>9781452265780</v>
      </c>
      <c r="H388" s="13" t="s">
        <v>1496</v>
      </c>
      <c r="I388" s="11" t="s">
        <v>2783</v>
      </c>
      <c r="J388" s="11"/>
      <c r="K388" s="11"/>
      <c r="L388" s="11"/>
      <c r="M388" s="13" t="s">
        <v>2199</v>
      </c>
      <c r="N388" s="12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3" t="s">
        <v>2766</v>
      </c>
      <c r="AB388" s="13">
        <v>501</v>
      </c>
      <c r="AC388" s="13" t="s">
        <v>2377</v>
      </c>
      <c r="AD388" s="13" t="s">
        <v>425</v>
      </c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</row>
    <row r="389" spans="1:40" ht="20.100000000000001" customHeight="1">
      <c r="A389" s="11">
        <v>388</v>
      </c>
      <c r="B389" s="12" t="s">
        <v>38</v>
      </c>
      <c r="C389" s="12" t="s">
        <v>38</v>
      </c>
      <c r="D389" s="13" t="s">
        <v>2312</v>
      </c>
      <c r="E389" s="11"/>
      <c r="F389" s="12"/>
      <c r="G389" s="13" t="str">
        <f>"9781452266565"</f>
        <v>9781452266565</v>
      </c>
      <c r="H389" s="13" t="s">
        <v>1497</v>
      </c>
      <c r="I389" s="11" t="s">
        <v>2784</v>
      </c>
      <c r="J389" s="11"/>
      <c r="K389" s="11"/>
      <c r="L389" s="11"/>
      <c r="M389" s="13" t="s">
        <v>2199</v>
      </c>
      <c r="N389" s="12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3" t="s">
        <v>2766</v>
      </c>
      <c r="AB389" s="13">
        <v>200.3</v>
      </c>
      <c r="AC389" s="13" t="s">
        <v>2323</v>
      </c>
      <c r="AD389" s="13" t="s">
        <v>426</v>
      </c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</row>
    <row r="390" spans="1:40" ht="20.100000000000001" customHeight="1">
      <c r="A390" s="11">
        <v>389</v>
      </c>
      <c r="B390" s="12" t="s">
        <v>38</v>
      </c>
      <c r="C390" s="12" t="s">
        <v>38</v>
      </c>
      <c r="D390" s="13" t="s">
        <v>2312</v>
      </c>
      <c r="E390" s="11"/>
      <c r="F390" s="12"/>
      <c r="G390" s="13" t="str">
        <f>"9781452265735"</f>
        <v>9781452265735</v>
      </c>
      <c r="H390" s="13" t="s">
        <v>1498</v>
      </c>
      <c r="I390" s="11" t="s">
        <v>2783</v>
      </c>
      <c r="J390" s="11"/>
      <c r="K390" s="11"/>
      <c r="L390" s="11"/>
      <c r="M390" s="13" t="s">
        <v>2199</v>
      </c>
      <c r="N390" s="12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3" t="s">
        <v>2766</v>
      </c>
      <c r="AB390" s="13">
        <v>371.20097299999998</v>
      </c>
      <c r="AC390" s="13" t="s">
        <v>2349</v>
      </c>
      <c r="AD390" s="13" t="s">
        <v>427</v>
      </c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</row>
    <row r="391" spans="1:40" ht="20.100000000000001" customHeight="1">
      <c r="A391" s="11">
        <v>390</v>
      </c>
      <c r="B391" s="12" t="s">
        <v>38</v>
      </c>
      <c r="C391" s="12" t="s">
        <v>38</v>
      </c>
      <c r="D391" s="13" t="s">
        <v>2312</v>
      </c>
      <c r="E391" s="11"/>
      <c r="F391" s="12"/>
      <c r="G391" s="13" t="str">
        <f>"9781452266015"</f>
        <v>9781452266015</v>
      </c>
      <c r="H391" s="13" t="s">
        <v>1499</v>
      </c>
      <c r="I391" s="11" t="s">
        <v>2778</v>
      </c>
      <c r="J391" s="11"/>
      <c r="K391" s="11"/>
      <c r="L391" s="11"/>
      <c r="M391" s="13" t="s">
        <v>2199</v>
      </c>
      <c r="N391" s="12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3" t="s">
        <v>2766</v>
      </c>
      <c r="AB391" s="13">
        <v>362.2903</v>
      </c>
      <c r="AC391" s="13" t="s">
        <v>2409</v>
      </c>
      <c r="AD391" s="13" t="s">
        <v>428</v>
      </c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</row>
    <row r="392" spans="1:40" ht="20.100000000000001" customHeight="1">
      <c r="A392" s="11">
        <v>391</v>
      </c>
      <c r="B392" s="12" t="s">
        <v>38</v>
      </c>
      <c r="C392" s="12" t="s">
        <v>38</v>
      </c>
      <c r="D392" s="13" t="s">
        <v>2312</v>
      </c>
      <c r="E392" s="11"/>
      <c r="F392" s="12"/>
      <c r="G392" s="13" t="str">
        <f>"9781452265773"</f>
        <v>9781452265773</v>
      </c>
      <c r="H392" s="13" t="s">
        <v>1500</v>
      </c>
      <c r="I392" s="11" t="s">
        <v>2783</v>
      </c>
      <c r="J392" s="11"/>
      <c r="K392" s="11"/>
      <c r="L392" s="11"/>
      <c r="M392" s="13" t="s">
        <v>2199</v>
      </c>
      <c r="N392" s="12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3" t="s">
        <v>2766</v>
      </c>
      <c r="AB392" s="13">
        <v>364.01</v>
      </c>
      <c r="AC392" s="13" t="s">
        <v>2318</v>
      </c>
      <c r="AD392" s="13" t="s">
        <v>429</v>
      </c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</row>
    <row r="393" spans="1:40" ht="20.100000000000001" customHeight="1">
      <c r="A393" s="11">
        <v>392</v>
      </c>
      <c r="B393" s="12" t="s">
        <v>38</v>
      </c>
      <c r="C393" s="12" t="s">
        <v>38</v>
      </c>
      <c r="D393" s="13" t="s">
        <v>2312</v>
      </c>
      <c r="E393" s="11"/>
      <c r="F393" s="12"/>
      <c r="G393" s="13" t="str">
        <f>"9781452265322"</f>
        <v>9781452265322</v>
      </c>
      <c r="H393" s="13" t="s">
        <v>1501</v>
      </c>
      <c r="I393" s="11" t="s">
        <v>2771</v>
      </c>
      <c r="J393" s="11"/>
      <c r="K393" s="11"/>
      <c r="L393" s="11"/>
      <c r="M393" s="13" t="s">
        <v>2199</v>
      </c>
      <c r="N393" s="12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3" t="s">
        <v>2766</v>
      </c>
      <c r="AB393" s="13" t="s">
        <v>2609</v>
      </c>
      <c r="AC393" s="13" t="s">
        <v>2318</v>
      </c>
      <c r="AD393" s="13" t="s">
        <v>430</v>
      </c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</row>
    <row r="394" spans="1:40" ht="20.100000000000001" customHeight="1">
      <c r="A394" s="11">
        <v>393</v>
      </c>
      <c r="B394" s="12" t="s">
        <v>38</v>
      </c>
      <c r="C394" s="12" t="s">
        <v>38</v>
      </c>
      <c r="D394" s="13" t="s">
        <v>2312</v>
      </c>
      <c r="E394" s="11"/>
      <c r="F394" s="12"/>
      <c r="G394" s="13" t="str">
        <f>"9781452266411"</f>
        <v>9781452266411</v>
      </c>
      <c r="H394" s="13" t="s">
        <v>1502</v>
      </c>
      <c r="I394" s="11" t="s">
        <v>2784</v>
      </c>
      <c r="J394" s="11"/>
      <c r="K394" s="11"/>
      <c r="L394" s="11"/>
      <c r="M394" s="13" t="s">
        <v>2199</v>
      </c>
      <c r="N394" s="12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3" t="s">
        <v>2766</v>
      </c>
      <c r="AB394" s="13">
        <v>303.303</v>
      </c>
      <c r="AC394" s="13" t="s">
        <v>2318</v>
      </c>
      <c r="AD394" s="13" t="s">
        <v>431</v>
      </c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</row>
    <row r="395" spans="1:40" ht="20.100000000000001" customHeight="1">
      <c r="A395" s="11">
        <v>394</v>
      </c>
      <c r="B395" s="12" t="s">
        <v>38</v>
      </c>
      <c r="C395" s="12" t="s">
        <v>38</v>
      </c>
      <c r="D395" s="13" t="s">
        <v>2312</v>
      </c>
      <c r="E395" s="11"/>
      <c r="F395" s="12"/>
      <c r="G395" s="13" t="str">
        <f>"9781452266022"</f>
        <v>9781452266022</v>
      </c>
      <c r="H395" s="13" t="s">
        <v>1503</v>
      </c>
      <c r="I395" s="11" t="s">
        <v>2778</v>
      </c>
      <c r="J395" s="11"/>
      <c r="K395" s="11"/>
      <c r="L395" s="11"/>
      <c r="M395" s="13" t="s">
        <v>2199</v>
      </c>
      <c r="N395" s="12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3" t="s">
        <v>2766</v>
      </c>
      <c r="AB395" s="13" t="s">
        <v>2610</v>
      </c>
      <c r="AC395" s="13" t="s">
        <v>2318</v>
      </c>
      <c r="AD395" s="13" t="s">
        <v>432</v>
      </c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</row>
    <row r="396" spans="1:40" ht="20.100000000000001" customHeight="1">
      <c r="A396" s="11">
        <v>395</v>
      </c>
      <c r="B396" s="12" t="s">
        <v>38</v>
      </c>
      <c r="C396" s="12" t="s">
        <v>38</v>
      </c>
      <c r="D396" s="13" t="s">
        <v>2312</v>
      </c>
      <c r="E396" s="11"/>
      <c r="F396" s="12"/>
      <c r="G396" s="13" t="str">
        <f>"9781452265469"</f>
        <v>9781452265469</v>
      </c>
      <c r="H396" s="13" t="s">
        <v>1504</v>
      </c>
      <c r="I396" s="11" t="s">
        <v>2771</v>
      </c>
      <c r="J396" s="11"/>
      <c r="K396" s="11"/>
      <c r="L396" s="11"/>
      <c r="M396" s="13" t="s">
        <v>2199</v>
      </c>
      <c r="N396" s="12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3" t="s">
        <v>2766</v>
      </c>
      <c r="AB396" s="13" t="s">
        <v>2611</v>
      </c>
      <c r="AC396" s="13" t="s">
        <v>2318</v>
      </c>
      <c r="AD396" s="13" t="s">
        <v>433</v>
      </c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</row>
    <row r="397" spans="1:40" ht="20.100000000000001" customHeight="1">
      <c r="A397" s="11">
        <v>396</v>
      </c>
      <c r="B397" s="12" t="s">
        <v>38</v>
      </c>
      <c r="C397" s="12" t="s">
        <v>38</v>
      </c>
      <c r="D397" s="13" t="s">
        <v>2312</v>
      </c>
      <c r="E397" s="11"/>
      <c r="F397" s="12"/>
      <c r="G397" s="13" t="str">
        <f>"9781452265629"</f>
        <v>9781452265629</v>
      </c>
      <c r="H397" s="13" t="s">
        <v>1505</v>
      </c>
      <c r="I397" s="11" t="s">
        <v>2777</v>
      </c>
      <c r="J397" s="11"/>
      <c r="K397" s="11"/>
      <c r="L397" s="11"/>
      <c r="M397" s="13" t="s">
        <v>2199</v>
      </c>
      <c r="N397" s="12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3" t="s">
        <v>2766</v>
      </c>
      <c r="AB397" s="13" t="s">
        <v>2612</v>
      </c>
      <c r="AC397" s="13" t="s">
        <v>2329</v>
      </c>
      <c r="AD397" s="13" t="s">
        <v>434</v>
      </c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</row>
    <row r="398" spans="1:40" ht="20.100000000000001" customHeight="1">
      <c r="A398" s="11">
        <v>397</v>
      </c>
      <c r="B398" s="12" t="s">
        <v>38</v>
      </c>
      <c r="C398" s="12" t="s">
        <v>38</v>
      </c>
      <c r="D398" s="13" t="s">
        <v>2312</v>
      </c>
      <c r="E398" s="11"/>
      <c r="F398" s="12"/>
      <c r="G398" s="13" t="str">
        <f>"9781452267463"</f>
        <v>9781452267463</v>
      </c>
      <c r="H398" s="13" t="s">
        <v>1506</v>
      </c>
      <c r="I398" s="11" t="s">
        <v>2784</v>
      </c>
      <c r="J398" s="11"/>
      <c r="K398" s="11"/>
      <c r="L398" s="11"/>
      <c r="M398" s="13" t="s">
        <v>2199</v>
      </c>
      <c r="N398" s="12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3" t="s">
        <v>2766</v>
      </c>
      <c r="AB398" s="13">
        <v>174.4</v>
      </c>
      <c r="AC398" s="13" t="s">
        <v>2344</v>
      </c>
      <c r="AD398" s="13" t="s">
        <v>435</v>
      </c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</row>
    <row r="399" spans="1:40" ht="20.100000000000001" customHeight="1">
      <c r="A399" s="11">
        <v>398</v>
      </c>
      <c r="B399" s="12" t="s">
        <v>38</v>
      </c>
      <c r="C399" s="12" t="s">
        <v>38</v>
      </c>
      <c r="D399" s="13" t="s">
        <v>2312</v>
      </c>
      <c r="E399" s="11"/>
      <c r="F399" s="12"/>
      <c r="G399" s="13" t="str">
        <f>"9781452265759"</f>
        <v>9781452265759</v>
      </c>
      <c r="H399" s="13" t="s">
        <v>1507</v>
      </c>
      <c r="I399" s="11" t="s">
        <v>2783</v>
      </c>
      <c r="J399" s="11"/>
      <c r="K399" s="11"/>
      <c r="L399" s="11"/>
      <c r="M399" s="13" t="s">
        <v>2199</v>
      </c>
      <c r="N399" s="12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3" t="s">
        <v>2766</v>
      </c>
      <c r="AB399" s="13">
        <v>320.01</v>
      </c>
      <c r="AC399" s="13" t="s">
        <v>2329</v>
      </c>
      <c r="AD399" s="13" t="s">
        <v>436</v>
      </c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</row>
    <row r="400" spans="1:40" ht="20.100000000000001" customHeight="1">
      <c r="A400" s="11">
        <v>399</v>
      </c>
      <c r="B400" s="12" t="s">
        <v>38</v>
      </c>
      <c r="C400" s="12" t="s">
        <v>38</v>
      </c>
      <c r="D400" s="13" t="s">
        <v>2312</v>
      </c>
      <c r="E400" s="11"/>
      <c r="F400" s="12"/>
      <c r="G400" s="13" t="str">
        <f>"9780810882713"</f>
        <v>9780810882713</v>
      </c>
      <c r="H400" s="13" t="s">
        <v>1508</v>
      </c>
      <c r="I400" s="11" t="s">
        <v>2785</v>
      </c>
      <c r="J400" s="11"/>
      <c r="K400" s="11"/>
      <c r="L400" s="11"/>
      <c r="M400" s="13" t="s">
        <v>2196</v>
      </c>
      <c r="N400" s="12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3" t="s">
        <v>2766</v>
      </c>
      <c r="AB400" s="13">
        <v>784.19200000000001</v>
      </c>
      <c r="AC400" s="13" t="s">
        <v>2315</v>
      </c>
      <c r="AD400" s="13" t="s">
        <v>437</v>
      </c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</row>
    <row r="401" spans="1:40" ht="20.100000000000001" customHeight="1">
      <c r="A401" s="11">
        <v>400</v>
      </c>
      <c r="B401" s="12" t="s">
        <v>38</v>
      </c>
      <c r="C401" s="12" t="s">
        <v>38</v>
      </c>
      <c r="D401" s="13" t="s">
        <v>2312</v>
      </c>
      <c r="E401" s="11"/>
      <c r="F401" s="12"/>
      <c r="G401" s="13" t="str">
        <f>"9780199812912"</f>
        <v>9780199812912</v>
      </c>
      <c r="H401" s="13" t="s">
        <v>1509</v>
      </c>
      <c r="I401" s="11" t="s">
        <v>2785</v>
      </c>
      <c r="J401" s="11"/>
      <c r="K401" s="11"/>
      <c r="L401" s="11"/>
      <c r="M401" s="13" t="s">
        <v>2188</v>
      </c>
      <c r="N401" s="12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3" t="s">
        <v>2766</v>
      </c>
      <c r="AB401" s="13">
        <v>333.79</v>
      </c>
      <c r="AC401" s="13" t="s">
        <v>2410</v>
      </c>
      <c r="AD401" s="13" t="s">
        <v>438</v>
      </c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</row>
    <row r="402" spans="1:40" ht="20.100000000000001" customHeight="1">
      <c r="A402" s="11">
        <v>401</v>
      </c>
      <c r="B402" s="12" t="s">
        <v>38</v>
      </c>
      <c r="C402" s="12" t="s">
        <v>38</v>
      </c>
      <c r="D402" s="13" t="s">
        <v>2312</v>
      </c>
      <c r="E402" s="11"/>
      <c r="F402" s="12"/>
      <c r="G402" s="13" t="str">
        <f>"9789004206823"</f>
        <v>9789004206823</v>
      </c>
      <c r="H402" s="13" t="s">
        <v>1510</v>
      </c>
      <c r="I402" s="11" t="s">
        <v>2785</v>
      </c>
      <c r="J402" s="11"/>
      <c r="K402" s="11"/>
      <c r="L402" s="11"/>
      <c r="M402" s="13" t="s">
        <v>2184</v>
      </c>
      <c r="N402" s="12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3" t="s">
        <v>2766</v>
      </c>
      <c r="AB402" s="13">
        <v>355.00819999999999</v>
      </c>
      <c r="AC402" s="13" t="s">
        <v>2399</v>
      </c>
      <c r="AD402" s="13" t="s">
        <v>439</v>
      </c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</row>
    <row r="403" spans="1:40" ht="20.100000000000001" customHeight="1">
      <c r="A403" s="11">
        <v>402</v>
      </c>
      <c r="B403" s="12" t="s">
        <v>38</v>
      </c>
      <c r="C403" s="12" t="s">
        <v>38</v>
      </c>
      <c r="D403" s="13" t="s">
        <v>2312</v>
      </c>
      <c r="E403" s="11"/>
      <c r="F403" s="12"/>
      <c r="G403" s="13" t="str">
        <f>"9780810878983"</f>
        <v>9780810878983</v>
      </c>
      <c r="H403" s="13" t="s">
        <v>1511</v>
      </c>
      <c r="I403" s="11" t="s">
        <v>2785</v>
      </c>
      <c r="J403" s="11"/>
      <c r="K403" s="11"/>
      <c r="L403" s="11"/>
      <c r="M403" s="13" t="s">
        <v>2196</v>
      </c>
      <c r="N403" s="12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3" t="s">
        <v>2766</v>
      </c>
      <c r="AB403" s="13">
        <v>781.65030000000002</v>
      </c>
      <c r="AC403" s="13" t="s">
        <v>2315</v>
      </c>
      <c r="AD403" s="13" t="s">
        <v>440</v>
      </c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</row>
    <row r="404" spans="1:40" ht="20.100000000000001" customHeight="1">
      <c r="A404" s="11">
        <v>403</v>
      </c>
      <c r="B404" s="12" t="s">
        <v>38</v>
      </c>
      <c r="C404" s="12" t="s">
        <v>38</v>
      </c>
      <c r="D404" s="13" t="s">
        <v>2312</v>
      </c>
      <c r="E404" s="11"/>
      <c r="F404" s="12"/>
      <c r="G404" s="13" t="str">
        <f>"9780199978625"</f>
        <v>9780199978625</v>
      </c>
      <c r="H404" s="13" t="s">
        <v>1512</v>
      </c>
      <c r="I404" s="11" t="s">
        <v>2785</v>
      </c>
      <c r="J404" s="11"/>
      <c r="K404" s="11"/>
      <c r="L404" s="11"/>
      <c r="M404" s="13" t="s">
        <v>2188</v>
      </c>
      <c r="N404" s="12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3" t="s">
        <v>2766</v>
      </c>
      <c r="AB404" s="13" t="s">
        <v>2613</v>
      </c>
      <c r="AC404" s="13" t="s">
        <v>2359</v>
      </c>
      <c r="AD404" s="13" t="s">
        <v>441</v>
      </c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</row>
    <row r="405" spans="1:40" ht="20.100000000000001" customHeight="1">
      <c r="A405" s="11">
        <v>404</v>
      </c>
      <c r="B405" s="12" t="s">
        <v>38</v>
      </c>
      <c r="C405" s="12" t="s">
        <v>38</v>
      </c>
      <c r="D405" s="13" t="s">
        <v>2312</v>
      </c>
      <c r="E405" s="11"/>
      <c r="F405" s="12"/>
      <c r="G405" s="13" t="str">
        <f>"9780199978601"</f>
        <v>9780199978601</v>
      </c>
      <c r="H405" s="13" t="s">
        <v>1513</v>
      </c>
      <c r="I405" s="11" t="s">
        <v>2785</v>
      </c>
      <c r="J405" s="11"/>
      <c r="K405" s="11"/>
      <c r="L405" s="11"/>
      <c r="M405" s="13" t="s">
        <v>2188</v>
      </c>
      <c r="N405" s="12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3" t="s">
        <v>2766</v>
      </c>
      <c r="AB405" s="13">
        <v>950.1</v>
      </c>
      <c r="AC405" s="13" t="s">
        <v>2317</v>
      </c>
      <c r="AD405" s="13" t="s">
        <v>442</v>
      </c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</row>
    <row r="406" spans="1:40" ht="20.100000000000001" customHeight="1">
      <c r="A406" s="11">
        <v>405</v>
      </c>
      <c r="B406" s="12" t="s">
        <v>38</v>
      </c>
      <c r="C406" s="12" t="s">
        <v>38</v>
      </c>
      <c r="D406" s="13" t="s">
        <v>2312</v>
      </c>
      <c r="E406" s="11"/>
      <c r="F406" s="12"/>
      <c r="G406" s="13" t="str">
        <f>"9781452265766"</f>
        <v>9781452265766</v>
      </c>
      <c r="H406" s="13" t="s">
        <v>1514</v>
      </c>
      <c r="I406" s="11" t="s">
        <v>2783</v>
      </c>
      <c r="J406" s="11"/>
      <c r="K406" s="11"/>
      <c r="L406" s="11"/>
      <c r="M406" s="13" t="s">
        <v>2199</v>
      </c>
      <c r="N406" s="12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3" t="s">
        <v>2766</v>
      </c>
      <c r="AB406" s="13">
        <v>375.00029999999998</v>
      </c>
      <c r="AC406" s="13" t="s">
        <v>2349</v>
      </c>
      <c r="AD406" s="13" t="s">
        <v>443</v>
      </c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</row>
    <row r="407" spans="1:40" ht="20.100000000000001" customHeight="1">
      <c r="A407" s="11">
        <v>406</v>
      </c>
      <c r="B407" s="12" t="s">
        <v>38</v>
      </c>
      <c r="C407" s="12" t="s">
        <v>38</v>
      </c>
      <c r="D407" s="13" t="s">
        <v>2312</v>
      </c>
      <c r="E407" s="11"/>
      <c r="F407" s="12"/>
      <c r="G407" s="13" t="str">
        <f>"9781452266404"</f>
        <v>9781452266404</v>
      </c>
      <c r="H407" s="13" t="s">
        <v>1515</v>
      </c>
      <c r="I407" s="11" t="s">
        <v>2784</v>
      </c>
      <c r="J407" s="11"/>
      <c r="K407" s="11"/>
      <c r="L407" s="11"/>
      <c r="M407" s="13" t="s">
        <v>2199</v>
      </c>
      <c r="N407" s="12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3" t="s">
        <v>2766</v>
      </c>
      <c r="AB407" s="13">
        <v>610</v>
      </c>
      <c r="AC407" s="13" t="s">
        <v>2366</v>
      </c>
      <c r="AD407" s="13" t="s">
        <v>444</v>
      </c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</row>
    <row r="408" spans="1:40" ht="20.100000000000001" customHeight="1">
      <c r="A408" s="11">
        <v>407</v>
      </c>
      <c r="B408" s="12" t="s">
        <v>38</v>
      </c>
      <c r="C408" s="12" t="s">
        <v>38</v>
      </c>
      <c r="D408" s="13" t="s">
        <v>2312</v>
      </c>
      <c r="E408" s="11"/>
      <c r="F408" s="12"/>
      <c r="G408" s="13" t="str">
        <f>"9781118232750"</f>
        <v>9781118232750</v>
      </c>
      <c r="H408" s="13" t="s">
        <v>1516</v>
      </c>
      <c r="I408" s="11" t="s">
        <v>2785</v>
      </c>
      <c r="J408" s="11"/>
      <c r="K408" s="11"/>
      <c r="L408" s="11"/>
      <c r="M408" s="13" t="s">
        <v>2176</v>
      </c>
      <c r="N408" s="12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3" t="s">
        <v>2766</v>
      </c>
      <c r="AB408" s="13">
        <v>248.22</v>
      </c>
      <c r="AC408" s="13" t="s">
        <v>2323</v>
      </c>
      <c r="AD408" s="13" t="s">
        <v>445</v>
      </c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</row>
    <row r="409" spans="1:40" ht="20.100000000000001" customHeight="1">
      <c r="A409" s="11">
        <v>408</v>
      </c>
      <c r="B409" s="12" t="s">
        <v>38</v>
      </c>
      <c r="C409" s="12" t="s">
        <v>38</v>
      </c>
      <c r="D409" s="13" t="s">
        <v>2312</v>
      </c>
      <c r="E409" s="11"/>
      <c r="F409" s="12"/>
      <c r="G409" s="13" t="str">
        <f>"9780231504836"</f>
        <v>9780231504836</v>
      </c>
      <c r="H409" s="13" t="s">
        <v>1517</v>
      </c>
      <c r="I409" s="11" t="s">
        <v>2779</v>
      </c>
      <c r="J409" s="11"/>
      <c r="K409" s="11"/>
      <c r="L409" s="11"/>
      <c r="M409" s="13" t="s">
        <v>2197</v>
      </c>
      <c r="N409" s="12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3" t="s">
        <v>2766</v>
      </c>
      <c r="AB409" s="13" t="s">
        <v>2614</v>
      </c>
      <c r="AC409" s="13" t="s">
        <v>2313</v>
      </c>
      <c r="AD409" s="13" t="s">
        <v>446</v>
      </c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</row>
    <row r="410" spans="1:40" ht="20.100000000000001" customHeight="1">
      <c r="A410" s="11">
        <v>409</v>
      </c>
      <c r="B410" s="12" t="s">
        <v>38</v>
      </c>
      <c r="C410" s="12" t="s">
        <v>38</v>
      </c>
      <c r="D410" s="13" t="s">
        <v>2312</v>
      </c>
      <c r="E410" s="11"/>
      <c r="F410" s="12"/>
      <c r="G410" s="13" t="str">
        <f>"9781137295408"</f>
        <v>9781137295408</v>
      </c>
      <c r="H410" s="13" t="s">
        <v>1518</v>
      </c>
      <c r="I410" s="11" t="s">
        <v>2785</v>
      </c>
      <c r="J410" s="11"/>
      <c r="K410" s="11"/>
      <c r="L410" s="11"/>
      <c r="M410" s="13" t="s">
        <v>2179</v>
      </c>
      <c r="N410" s="12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3" t="s">
        <v>2766</v>
      </c>
      <c r="AB410" s="13"/>
      <c r="AC410" s="13" t="s">
        <v>2365</v>
      </c>
      <c r="AD410" s="13" t="s">
        <v>447</v>
      </c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</row>
    <row r="411" spans="1:40" ht="20.100000000000001" customHeight="1">
      <c r="A411" s="11">
        <v>410</v>
      </c>
      <c r="B411" s="12" t="s">
        <v>38</v>
      </c>
      <c r="C411" s="12" t="s">
        <v>38</v>
      </c>
      <c r="D411" s="13" t="s">
        <v>2312</v>
      </c>
      <c r="E411" s="11"/>
      <c r="F411" s="12"/>
      <c r="G411" s="13" t="str">
        <f>"9780230321458"</f>
        <v>9780230321458</v>
      </c>
      <c r="H411" s="13" t="s">
        <v>1519</v>
      </c>
      <c r="I411" s="11" t="s">
        <v>2784</v>
      </c>
      <c r="J411" s="11"/>
      <c r="K411" s="11"/>
      <c r="L411" s="11"/>
      <c r="M411" s="13" t="s">
        <v>2179</v>
      </c>
      <c r="N411" s="12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3" t="s">
        <v>2766</v>
      </c>
      <c r="AB411" s="13"/>
      <c r="AC411" s="13" t="s">
        <v>2314</v>
      </c>
      <c r="AD411" s="13" t="s">
        <v>448</v>
      </c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</row>
    <row r="412" spans="1:40" ht="20.100000000000001" customHeight="1">
      <c r="A412" s="11">
        <v>411</v>
      </c>
      <c r="B412" s="12" t="s">
        <v>38</v>
      </c>
      <c r="C412" s="12" t="s">
        <v>38</v>
      </c>
      <c r="D412" s="13" t="s">
        <v>2312</v>
      </c>
      <c r="E412" s="11"/>
      <c r="F412" s="12"/>
      <c r="G412" s="13" t="str">
        <f>"9781442211216"</f>
        <v>9781442211216</v>
      </c>
      <c r="H412" s="13" t="s">
        <v>1520</v>
      </c>
      <c r="I412" s="11" t="s">
        <v>2785</v>
      </c>
      <c r="J412" s="11"/>
      <c r="K412" s="11"/>
      <c r="L412" s="11"/>
      <c r="M412" s="13" t="s">
        <v>2196</v>
      </c>
      <c r="N412" s="12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3" t="s">
        <v>2766</v>
      </c>
      <c r="AB412" s="13">
        <v>370.11500000000001</v>
      </c>
      <c r="AC412" s="13" t="s">
        <v>2349</v>
      </c>
      <c r="AD412" s="13" t="s">
        <v>449</v>
      </c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</row>
    <row r="413" spans="1:40" ht="20.100000000000001" customHeight="1">
      <c r="A413" s="11">
        <v>412</v>
      </c>
      <c r="B413" s="12" t="s">
        <v>38</v>
      </c>
      <c r="C413" s="12" t="s">
        <v>38</v>
      </c>
      <c r="D413" s="13" t="s">
        <v>2312</v>
      </c>
      <c r="E413" s="11"/>
      <c r="F413" s="12"/>
      <c r="G413" s="13" t="str">
        <f>"9781139781893"</f>
        <v>9781139781893</v>
      </c>
      <c r="H413" s="13" t="s">
        <v>1521</v>
      </c>
      <c r="I413" s="11" t="s">
        <v>2783</v>
      </c>
      <c r="J413" s="11"/>
      <c r="K413" s="11"/>
      <c r="L413" s="11"/>
      <c r="M413" s="13" t="s">
        <v>2177</v>
      </c>
      <c r="N413" s="12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3" t="s">
        <v>2766</v>
      </c>
      <c r="AB413" s="13">
        <v>821.7</v>
      </c>
      <c r="AC413" s="13" t="s">
        <v>2313</v>
      </c>
      <c r="AD413" s="13" t="s">
        <v>450</v>
      </c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</row>
    <row r="414" spans="1:40" ht="20.100000000000001" customHeight="1">
      <c r="A414" s="11">
        <v>413</v>
      </c>
      <c r="B414" s="12" t="s">
        <v>38</v>
      </c>
      <c r="C414" s="12" t="s">
        <v>38</v>
      </c>
      <c r="D414" s="13" t="s">
        <v>2312</v>
      </c>
      <c r="E414" s="11"/>
      <c r="F414" s="12"/>
      <c r="G414" s="13" t="str">
        <f>"9781139781961"</f>
        <v>9781139781961</v>
      </c>
      <c r="H414" s="13" t="s">
        <v>1522</v>
      </c>
      <c r="I414" s="11" t="s">
        <v>2783</v>
      </c>
      <c r="J414" s="11"/>
      <c r="K414" s="11"/>
      <c r="L414" s="11"/>
      <c r="M414" s="13" t="s">
        <v>2177</v>
      </c>
      <c r="N414" s="12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3" t="s">
        <v>2766</v>
      </c>
      <c r="AB414" s="13">
        <v>801.95</v>
      </c>
      <c r="AC414" s="13" t="s">
        <v>2313</v>
      </c>
      <c r="AD414" s="13" t="s">
        <v>451</v>
      </c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</row>
    <row r="415" spans="1:40" ht="20.100000000000001" customHeight="1">
      <c r="A415" s="11">
        <v>414</v>
      </c>
      <c r="B415" s="12" t="s">
        <v>38</v>
      </c>
      <c r="C415" s="12" t="s">
        <v>38</v>
      </c>
      <c r="D415" s="13" t="s">
        <v>2312</v>
      </c>
      <c r="E415" s="11"/>
      <c r="F415" s="12"/>
      <c r="G415" s="13" t="str">
        <f>"9781139782074"</f>
        <v>9781139782074</v>
      </c>
      <c r="H415" s="13" t="s">
        <v>1523</v>
      </c>
      <c r="I415" s="11" t="s">
        <v>2783</v>
      </c>
      <c r="J415" s="11"/>
      <c r="K415" s="11"/>
      <c r="L415" s="11"/>
      <c r="M415" s="13" t="s">
        <v>2177</v>
      </c>
      <c r="N415" s="12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3" t="s">
        <v>2766</v>
      </c>
      <c r="AB415" s="13" t="s">
        <v>2615</v>
      </c>
      <c r="AC415" s="13" t="s">
        <v>2313</v>
      </c>
      <c r="AD415" s="13" t="s">
        <v>452</v>
      </c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</row>
    <row r="416" spans="1:40" ht="20.100000000000001" customHeight="1">
      <c r="A416" s="11">
        <v>415</v>
      </c>
      <c r="B416" s="12" t="s">
        <v>38</v>
      </c>
      <c r="C416" s="12" t="s">
        <v>38</v>
      </c>
      <c r="D416" s="13" t="s">
        <v>2312</v>
      </c>
      <c r="E416" s="11"/>
      <c r="F416" s="12"/>
      <c r="G416" s="13" t="str">
        <f>"9781139782197"</f>
        <v>9781139782197</v>
      </c>
      <c r="H416" s="13" t="s">
        <v>1524</v>
      </c>
      <c r="I416" s="11" t="s">
        <v>2783</v>
      </c>
      <c r="J416" s="11"/>
      <c r="K416" s="11"/>
      <c r="L416" s="11"/>
      <c r="M416" s="13" t="s">
        <v>2177</v>
      </c>
      <c r="N416" s="12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3" t="s">
        <v>2766</v>
      </c>
      <c r="AB416" s="13">
        <v>951.05092000000002</v>
      </c>
      <c r="AC416" s="13" t="s">
        <v>2317</v>
      </c>
      <c r="AD416" s="13" t="s">
        <v>453</v>
      </c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</row>
    <row r="417" spans="1:40" ht="20.100000000000001" customHeight="1">
      <c r="A417" s="11">
        <v>416</v>
      </c>
      <c r="B417" s="12" t="s">
        <v>38</v>
      </c>
      <c r="C417" s="12" t="s">
        <v>38</v>
      </c>
      <c r="D417" s="13" t="s">
        <v>2312</v>
      </c>
      <c r="E417" s="11"/>
      <c r="F417" s="12"/>
      <c r="G417" s="13" t="str">
        <f>"9780199976140"</f>
        <v>9780199976140</v>
      </c>
      <c r="H417" s="13" t="s">
        <v>1525</v>
      </c>
      <c r="I417" s="11" t="s">
        <v>2785</v>
      </c>
      <c r="J417" s="11"/>
      <c r="K417" s="11"/>
      <c r="L417" s="11"/>
      <c r="M417" s="13" t="s">
        <v>2188</v>
      </c>
      <c r="N417" s="12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3" t="s">
        <v>2766</v>
      </c>
      <c r="AB417" s="13">
        <v>362.10425097299998</v>
      </c>
      <c r="AC417" s="13" t="s">
        <v>2365</v>
      </c>
      <c r="AD417" s="13" t="s">
        <v>454</v>
      </c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</row>
    <row r="418" spans="1:40" ht="20.100000000000001" customHeight="1">
      <c r="A418" s="11">
        <v>417</v>
      </c>
      <c r="B418" s="12" t="s">
        <v>38</v>
      </c>
      <c r="C418" s="12" t="s">
        <v>38</v>
      </c>
      <c r="D418" s="13" t="s">
        <v>2312</v>
      </c>
      <c r="E418" s="11"/>
      <c r="F418" s="12"/>
      <c r="G418" s="13" t="str">
        <f>"9780814738979"</f>
        <v>9780814738979</v>
      </c>
      <c r="H418" s="13" t="s">
        <v>1526</v>
      </c>
      <c r="I418" s="11" t="s">
        <v>2785</v>
      </c>
      <c r="J418" s="11"/>
      <c r="K418" s="11"/>
      <c r="L418" s="11"/>
      <c r="M418" s="13" t="s">
        <v>2195</v>
      </c>
      <c r="N418" s="12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3" t="s">
        <v>2766</v>
      </c>
      <c r="AB418" s="13" t="s">
        <v>2616</v>
      </c>
      <c r="AC418" s="13" t="s">
        <v>2315</v>
      </c>
      <c r="AD418" s="13" t="s">
        <v>455</v>
      </c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</row>
    <row r="419" spans="1:40" ht="20.100000000000001" customHeight="1">
      <c r="A419" s="11">
        <v>418</v>
      </c>
      <c r="B419" s="12" t="s">
        <v>38</v>
      </c>
      <c r="C419" s="12" t="s">
        <v>38</v>
      </c>
      <c r="D419" s="13" t="s">
        <v>2312</v>
      </c>
      <c r="E419" s="11"/>
      <c r="F419" s="12"/>
      <c r="G419" s="13" t="str">
        <f>"9780827609716"</f>
        <v>9780827609716</v>
      </c>
      <c r="H419" s="13" t="s">
        <v>1527</v>
      </c>
      <c r="I419" s="11" t="s">
        <v>2780</v>
      </c>
      <c r="J419" s="11"/>
      <c r="K419" s="11"/>
      <c r="L419" s="11"/>
      <c r="M419" s="13" t="s">
        <v>2200</v>
      </c>
      <c r="N419" s="12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3" t="s">
        <v>2766</v>
      </c>
      <c r="AB419" s="13">
        <v>296.02999999999997</v>
      </c>
      <c r="AC419" s="13" t="s">
        <v>2323</v>
      </c>
      <c r="AD419" s="13" t="s">
        <v>456</v>
      </c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</row>
    <row r="420" spans="1:40" ht="20.100000000000001" customHeight="1">
      <c r="A420" s="11">
        <v>419</v>
      </c>
      <c r="B420" s="12" t="s">
        <v>38</v>
      </c>
      <c r="C420" s="12" t="s">
        <v>38</v>
      </c>
      <c r="D420" s="13" t="s">
        <v>2312</v>
      </c>
      <c r="E420" s="11"/>
      <c r="F420" s="12"/>
      <c r="G420" s="13" t="str">
        <f>"9780827609969"</f>
        <v>9780827609969</v>
      </c>
      <c r="H420" s="13" t="s">
        <v>1528</v>
      </c>
      <c r="I420" s="11" t="s">
        <v>2774</v>
      </c>
      <c r="J420" s="11"/>
      <c r="K420" s="11"/>
      <c r="L420" s="11"/>
      <c r="M420" s="13" t="s">
        <v>2200</v>
      </c>
      <c r="N420" s="12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3" t="s">
        <v>2766</v>
      </c>
      <c r="AB420" s="13">
        <v>413</v>
      </c>
      <c r="AC420" s="13" t="s">
        <v>2411</v>
      </c>
      <c r="AD420" s="13" t="s">
        <v>457</v>
      </c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</row>
    <row r="421" spans="1:40" ht="20.100000000000001" customHeight="1">
      <c r="A421" s="11">
        <v>420</v>
      </c>
      <c r="B421" s="12" t="s">
        <v>38</v>
      </c>
      <c r="C421" s="12" t="s">
        <v>38</v>
      </c>
      <c r="D421" s="13" t="s">
        <v>2312</v>
      </c>
      <c r="E421" s="11"/>
      <c r="F421" s="12"/>
      <c r="G421" s="13" t="str">
        <f>"9781615308835"</f>
        <v>9781615308835</v>
      </c>
      <c r="H421" s="13" t="s">
        <v>1529</v>
      </c>
      <c r="I421" s="11" t="s">
        <v>2785</v>
      </c>
      <c r="J421" s="11"/>
      <c r="K421" s="11"/>
      <c r="L421" s="11"/>
      <c r="M421" s="13" t="s">
        <v>2191</v>
      </c>
      <c r="N421" s="12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3" t="s">
        <v>2766</v>
      </c>
      <c r="AB421" s="13">
        <v>759.03</v>
      </c>
      <c r="AC421" s="13" t="s">
        <v>2315</v>
      </c>
      <c r="AD421" s="13" t="s">
        <v>458</v>
      </c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</row>
    <row r="422" spans="1:40" ht="20.100000000000001" customHeight="1">
      <c r="A422" s="11">
        <v>421</v>
      </c>
      <c r="B422" s="12" t="s">
        <v>38</v>
      </c>
      <c r="C422" s="12" t="s">
        <v>38</v>
      </c>
      <c r="D422" s="13" t="s">
        <v>2312</v>
      </c>
      <c r="E422" s="11"/>
      <c r="F422" s="12"/>
      <c r="G422" s="13" t="str">
        <f>"9781615309115"</f>
        <v>9781615309115</v>
      </c>
      <c r="H422" s="13" t="s">
        <v>1530</v>
      </c>
      <c r="I422" s="11" t="s">
        <v>2785</v>
      </c>
      <c r="J422" s="11"/>
      <c r="K422" s="11"/>
      <c r="L422" s="11"/>
      <c r="M422" s="13" t="s">
        <v>2191</v>
      </c>
      <c r="N422" s="12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3" t="s">
        <v>2766</v>
      </c>
      <c r="AB422" s="13" t="s">
        <v>2617</v>
      </c>
      <c r="AC422" s="13" t="s">
        <v>2315</v>
      </c>
      <c r="AD422" s="13" t="s">
        <v>459</v>
      </c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</row>
    <row r="423" spans="1:40" ht="20.100000000000001" customHeight="1">
      <c r="A423" s="11">
        <v>422</v>
      </c>
      <c r="B423" s="12" t="s">
        <v>38</v>
      </c>
      <c r="C423" s="12" t="s">
        <v>38</v>
      </c>
      <c r="D423" s="13" t="s">
        <v>2312</v>
      </c>
      <c r="E423" s="11"/>
      <c r="F423" s="12"/>
      <c r="G423" s="13" t="str">
        <f>"9781615309221"</f>
        <v>9781615309221</v>
      </c>
      <c r="H423" s="13" t="s">
        <v>1531</v>
      </c>
      <c r="I423" s="11" t="s">
        <v>2785</v>
      </c>
      <c r="J423" s="11"/>
      <c r="K423" s="11"/>
      <c r="L423" s="11"/>
      <c r="M423" s="13" t="s">
        <v>2191</v>
      </c>
      <c r="N423" s="12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3" t="s">
        <v>2766</v>
      </c>
      <c r="AB423" s="13">
        <v>613.20000000000005</v>
      </c>
      <c r="AC423" s="13" t="s">
        <v>2412</v>
      </c>
      <c r="AD423" s="13" t="s">
        <v>460</v>
      </c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</row>
    <row r="424" spans="1:40" ht="20.100000000000001" customHeight="1">
      <c r="A424" s="11">
        <v>423</v>
      </c>
      <c r="B424" s="12" t="s">
        <v>38</v>
      </c>
      <c r="C424" s="12" t="s">
        <v>38</v>
      </c>
      <c r="D424" s="13" t="s">
        <v>2312</v>
      </c>
      <c r="E424" s="11"/>
      <c r="F424" s="12"/>
      <c r="G424" s="13" t="str">
        <f>"9780199995943"</f>
        <v>9780199995943</v>
      </c>
      <c r="H424" s="13" t="s">
        <v>1532</v>
      </c>
      <c r="I424" s="11" t="s">
        <v>2785</v>
      </c>
      <c r="J424" s="11"/>
      <c r="K424" s="11"/>
      <c r="L424" s="11"/>
      <c r="M424" s="13" t="s">
        <v>2188</v>
      </c>
      <c r="N424" s="12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3" t="s">
        <v>2766</v>
      </c>
      <c r="AB424" s="13">
        <v>336.20097299999998</v>
      </c>
      <c r="AC424" s="13" t="s">
        <v>2359</v>
      </c>
      <c r="AD424" s="13" t="s">
        <v>461</v>
      </c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</row>
    <row r="425" spans="1:40" ht="20.100000000000001" customHeight="1">
      <c r="A425" s="11">
        <v>424</v>
      </c>
      <c r="B425" s="12" t="s">
        <v>38</v>
      </c>
      <c r="C425" s="12" t="s">
        <v>38</v>
      </c>
      <c r="D425" s="13" t="s">
        <v>2312</v>
      </c>
      <c r="E425" s="11"/>
      <c r="F425" s="12"/>
      <c r="G425" s="13" t="str">
        <f>"9780191029318"</f>
        <v>9780191029318</v>
      </c>
      <c r="H425" s="13" t="s">
        <v>1533</v>
      </c>
      <c r="I425" s="11" t="s">
        <v>2783</v>
      </c>
      <c r="J425" s="11"/>
      <c r="K425" s="11"/>
      <c r="L425" s="11"/>
      <c r="M425" s="13" t="s">
        <v>2188</v>
      </c>
      <c r="N425" s="12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3" t="s">
        <v>2766</v>
      </c>
      <c r="AB425" s="13">
        <v>305.89240089999998</v>
      </c>
      <c r="AC425" s="13" t="s">
        <v>2330</v>
      </c>
      <c r="AD425" s="13" t="s">
        <v>462</v>
      </c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</row>
    <row r="426" spans="1:40" ht="20.100000000000001" customHeight="1">
      <c r="A426" s="11">
        <v>425</v>
      </c>
      <c r="B426" s="12" t="s">
        <v>38</v>
      </c>
      <c r="C426" s="12" t="s">
        <v>38</v>
      </c>
      <c r="D426" s="13" t="s">
        <v>2312</v>
      </c>
      <c r="E426" s="11"/>
      <c r="F426" s="12"/>
      <c r="G426" s="13" t="str">
        <f>"9780191029486"</f>
        <v>9780191029486</v>
      </c>
      <c r="H426" s="13" t="s">
        <v>1534</v>
      </c>
      <c r="I426" s="11" t="s">
        <v>2784</v>
      </c>
      <c r="J426" s="11"/>
      <c r="K426" s="11"/>
      <c r="L426" s="11"/>
      <c r="M426" s="13" t="s">
        <v>2188</v>
      </c>
      <c r="N426" s="12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3" t="s">
        <v>2766</v>
      </c>
      <c r="AB426" s="13">
        <v>551.52459999999996</v>
      </c>
      <c r="AC426" s="13" t="s">
        <v>2392</v>
      </c>
      <c r="AD426" s="13" t="s">
        <v>463</v>
      </c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</row>
    <row r="427" spans="1:40" ht="20.100000000000001" customHeight="1">
      <c r="A427" s="11">
        <v>426</v>
      </c>
      <c r="B427" s="12" t="s">
        <v>38</v>
      </c>
      <c r="C427" s="12" t="s">
        <v>38</v>
      </c>
      <c r="D427" s="13" t="s">
        <v>2312</v>
      </c>
      <c r="E427" s="11"/>
      <c r="F427" s="12"/>
      <c r="G427" s="13" t="str">
        <f>"9783110238136"</f>
        <v>9783110238136</v>
      </c>
      <c r="H427" s="13" t="s">
        <v>1535</v>
      </c>
      <c r="I427" s="11" t="s">
        <v>2786</v>
      </c>
      <c r="J427" s="11"/>
      <c r="K427" s="11"/>
      <c r="L427" s="11"/>
      <c r="M427" s="13" t="s">
        <v>2201</v>
      </c>
      <c r="N427" s="12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3" t="s">
        <v>2766</v>
      </c>
      <c r="AB427" s="13"/>
      <c r="AC427" s="13" t="s">
        <v>2345</v>
      </c>
      <c r="AD427" s="13" t="s">
        <v>464</v>
      </c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</row>
    <row r="428" spans="1:40" ht="20.100000000000001" customHeight="1">
      <c r="A428" s="11">
        <v>427</v>
      </c>
      <c r="B428" s="12" t="s">
        <v>38</v>
      </c>
      <c r="C428" s="12" t="s">
        <v>38</v>
      </c>
      <c r="D428" s="13" t="s">
        <v>2312</v>
      </c>
      <c r="E428" s="11"/>
      <c r="F428" s="12"/>
      <c r="G428" s="13" t="str">
        <f>"9781476601380"</f>
        <v>9781476601380</v>
      </c>
      <c r="H428" s="13" t="s">
        <v>1536</v>
      </c>
      <c r="I428" s="11" t="s">
        <v>2785</v>
      </c>
      <c r="J428" s="11"/>
      <c r="K428" s="11"/>
      <c r="L428" s="11"/>
      <c r="M428" s="13" t="s">
        <v>2187</v>
      </c>
      <c r="N428" s="12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3" t="s">
        <v>2766</v>
      </c>
      <c r="AB428" s="13">
        <v>220.52002999999999</v>
      </c>
      <c r="AC428" s="13" t="s">
        <v>2323</v>
      </c>
      <c r="AD428" s="13" t="s">
        <v>465</v>
      </c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</row>
    <row r="429" spans="1:40" ht="20.100000000000001" customHeight="1">
      <c r="A429" s="11">
        <v>428</v>
      </c>
      <c r="B429" s="12" t="s">
        <v>38</v>
      </c>
      <c r="C429" s="12" t="s">
        <v>38</v>
      </c>
      <c r="D429" s="13" t="s">
        <v>2312</v>
      </c>
      <c r="E429" s="11"/>
      <c r="F429" s="12"/>
      <c r="G429" s="13" t="str">
        <f>"9789004234727"</f>
        <v>9789004234727</v>
      </c>
      <c r="H429" s="13" t="s">
        <v>1537</v>
      </c>
      <c r="I429" s="11" t="s">
        <v>2785</v>
      </c>
      <c r="J429" s="11"/>
      <c r="K429" s="11"/>
      <c r="L429" s="11"/>
      <c r="M429" s="13" t="s">
        <v>2184</v>
      </c>
      <c r="N429" s="12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3" t="s">
        <v>2766</v>
      </c>
      <c r="AB429" s="13" t="s">
        <v>2618</v>
      </c>
      <c r="AC429" s="13" t="s">
        <v>2334</v>
      </c>
      <c r="AD429" s="13" t="s">
        <v>466</v>
      </c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</row>
    <row r="430" spans="1:40" ht="20.100000000000001" customHeight="1">
      <c r="A430" s="11">
        <v>429</v>
      </c>
      <c r="B430" s="12" t="s">
        <v>38</v>
      </c>
      <c r="C430" s="12" t="s">
        <v>38</v>
      </c>
      <c r="D430" s="13" t="s">
        <v>2312</v>
      </c>
      <c r="E430" s="11"/>
      <c r="F430" s="12"/>
      <c r="G430" s="13" t="str">
        <f>"9789004236462"</f>
        <v>9789004236462</v>
      </c>
      <c r="H430" s="13" t="s">
        <v>1538</v>
      </c>
      <c r="I430" s="11" t="s">
        <v>2785</v>
      </c>
      <c r="J430" s="11"/>
      <c r="K430" s="11"/>
      <c r="L430" s="11"/>
      <c r="M430" s="13" t="s">
        <v>2184</v>
      </c>
      <c r="N430" s="12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3" t="s">
        <v>2766</v>
      </c>
      <c r="AB430" s="13">
        <v>937.06</v>
      </c>
      <c r="AC430" s="13" t="s">
        <v>2317</v>
      </c>
      <c r="AD430" s="13" t="s">
        <v>467</v>
      </c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</row>
    <row r="431" spans="1:40" ht="20.100000000000001" customHeight="1">
      <c r="A431" s="11">
        <v>430</v>
      </c>
      <c r="B431" s="12" t="s">
        <v>38</v>
      </c>
      <c r="C431" s="12" t="s">
        <v>38</v>
      </c>
      <c r="D431" s="13" t="s">
        <v>2312</v>
      </c>
      <c r="E431" s="11"/>
      <c r="F431" s="12"/>
      <c r="G431" s="13" t="str">
        <f>"9789004241961"</f>
        <v>9789004241961</v>
      </c>
      <c r="H431" s="13" t="s">
        <v>1539</v>
      </c>
      <c r="I431" s="11" t="s">
        <v>2785</v>
      </c>
      <c r="J431" s="11"/>
      <c r="K431" s="11"/>
      <c r="L431" s="11"/>
      <c r="M431" s="13" t="s">
        <v>2184</v>
      </c>
      <c r="N431" s="12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3" t="s">
        <v>2766</v>
      </c>
      <c r="AB431" s="13">
        <v>874.01</v>
      </c>
      <c r="AC431" s="13" t="s">
        <v>2313</v>
      </c>
      <c r="AD431" s="13" t="s">
        <v>468</v>
      </c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</row>
    <row r="432" spans="1:40" ht="20.100000000000001" customHeight="1">
      <c r="A432" s="11">
        <v>431</v>
      </c>
      <c r="B432" s="12" t="s">
        <v>38</v>
      </c>
      <c r="C432" s="12" t="s">
        <v>38</v>
      </c>
      <c r="D432" s="13" t="s">
        <v>2312</v>
      </c>
      <c r="E432" s="11"/>
      <c r="F432" s="12"/>
      <c r="G432" s="13" t="str">
        <f>"9781610488686"</f>
        <v>9781610488686</v>
      </c>
      <c r="H432" s="13" t="s">
        <v>1540</v>
      </c>
      <c r="I432" s="11" t="s">
        <v>2785</v>
      </c>
      <c r="J432" s="11"/>
      <c r="K432" s="11"/>
      <c r="L432" s="11"/>
      <c r="M432" s="13" t="s">
        <v>2196</v>
      </c>
      <c r="N432" s="12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3" t="s">
        <v>2766</v>
      </c>
      <c r="AB432" s="13"/>
      <c r="AC432" s="13" t="s">
        <v>2349</v>
      </c>
      <c r="AD432" s="13" t="s">
        <v>469</v>
      </c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</row>
    <row r="433" spans="1:40" ht="20.100000000000001" customHeight="1">
      <c r="A433" s="11">
        <v>432</v>
      </c>
      <c r="B433" s="12" t="s">
        <v>38</v>
      </c>
      <c r="C433" s="12" t="s">
        <v>38</v>
      </c>
      <c r="D433" s="13" t="s">
        <v>2312</v>
      </c>
      <c r="E433" s="11"/>
      <c r="F433" s="12"/>
      <c r="G433" s="13" t="str">
        <f>"9780199874996"</f>
        <v>9780199874996</v>
      </c>
      <c r="H433" s="13" t="s">
        <v>1541</v>
      </c>
      <c r="I433" s="11" t="s">
        <v>2784</v>
      </c>
      <c r="J433" s="11"/>
      <c r="K433" s="11"/>
      <c r="L433" s="11"/>
      <c r="M433" s="13" t="s">
        <v>2188</v>
      </c>
      <c r="N433" s="12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3" t="s">
        <v>2766</v>
      </c>
      <c r="AB433" s="13">
        <v>617.70000000000005</v>
      </c>
      <c r="AC433" s="13" t="s">
        <v>2328</v>
      </c>
      <c r="AD433" s="13" t="s">
        <v>470</v>
      </c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</row>
    <row r="434" spans="1:40" ht="20.100000000000001" customHeight="1">
      <c r="A434" s="11">
        <v>433</v>
      </c>
      <c r="B434" s="12" t="s">
        <v>38</v>
      </c>
      <c r="C434" s="12" t="s">
        <v>38</v>
      </c>
      <c r="D434" s="13" t="s">
        <v>2312</v>
      </c>
      <c r="E434" s="11"/>
      <c r="F434" s="12"/>
      <c r="G434" s="13" t="str">
        <f>"9781848169845"</f>
        <v>9781848169845</v>
      </c>
      <c r="H434" s="13" t="s">
        <v>1542</v>
      </c>
      <c r="I434" s="11" t="s">
        <v>2785</v>
      </c>
      <c r="J434" s="11"/>
      <c r="K434" s="11"/>
      <c r="L434" s="11"/>
      <c r="M434" s="13" t="s">
        <v>2193</v>
      </c>
      <c r="N434" s="12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3" t="s">
        <v>2766</v>
      </c>
      <c r="AB434" s="13">
        <v>577.54999999999995</v>
      </c>
      <c r="AC434" s="13" t="s">
        <v>2413</v>
      </c>
      <c r="AD434" s="13" t="s">
        <v>471</v>
      </c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</row>
    <row r="435" spans="1:40" ht="20.100000000000001" customHeight="1">
      <c r="A435" s="11">
        <v>434</v>
      </c>
      <c r="B435" s="12" t="s">
        <v>38</v>
      </c>
      <c r="C435" s="12" t="s">
        <v>38</v>
      </c>
      <c r="D435" s="13" t="s">
        <v>2312</v>
      </c>
      <c r="E435" s="11"/>
      <c r="F435" s="12"/>
      <c r="G435" s="13" t="str">
        <f>"9780826106247"</f>
        <v>9780826106247</v>
      </c>
      <c r="H435" s="13" t="s">
        <v>1543</v>
      </c>
      <c r="I435" s="11" t="s">
        <v>2785</v>
      </c>
      <c r="J435" s="11"/>
      <c r="K435" s="11"/>
      <c r="L435" s="11"/>
      <c r="M435" s="13" t="s">
        <v>2183</v>
      </c>
      <c r="N435" s="12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3" t="s">
        <v>2766</v>
      </c>
      <c r="AB435" s="13"/>
      <c r="AC435" s="13" t="s">
        <v>2414</v>
      </c>
      <c r="AD435" s="13" t="s">
        <v>472</v>
      </c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</row>
    <row r="436" spans="1:40" ht="20.100000000000001" customHeight="1">
      <c r="A436" s="11">
        <v>435</v>
      </c>
      <c r="B436" s="12" t="s">
        <v>38</v>
      </c>
      <c r="C436" s="12" t="s">
        <v>38</v>
      </c>
      <c r="D436" s="13" t="s">
        <v>2312</v>
      </c>
      <c r="E436" s="11"/>
      <c r="F436" s="12"/>
      <c r="G436" s="13" t="str">
        <f>"9780814759226"</f>
        <v>9780814759226</v>
      </c>
      <c r="H436" s="13" t="s">
        <v>1544</v>
      </c>
      <c r="I436" s="11" t="s">
        <v>2786</v>
      </c>
      <c r="J436" s="11"/>
      <c r="K436" s="11"/>
      <c r="L436" s="11"/>
      <c r="M436" s="13" t="s">
        <v>2195</v>
      </c>
      <c r="N436" s="12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3" t="s">
        <v>2766</v>
      </c>
      <c r="AB436" s="13">
        <v>907.202</v>
      </c>
      <c r="AC436" s="13" t="s">
        <v>2415</v>
      </c>
      <c r="AD436" s="13" t="s">
        <v>473</v>
      </c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</row>
    <row r="437" spans="1:40" ht="20.100000000000001" customHeight="1">
      <c r="A437" s="11">
        <v>436</v>
      </c>
      <c r="B437" s="12" t="s">
        <v>38</v>
      </c>
      <c r="C437" s="12" t="s">
        <v>38</v>
      </c>
      <c r="D437" s="13" t="s">
        <v>2312</v>
      </c>
      <c r="E437" s="11"/>
      <c r="F437" s="12"/>
      <c r="G437" s="13" t="str">
        <f>"9781118325056"</f>
        <v>9781118325056</v>
      </c>
      <c r="H437" s="13" t="s">
        <v>1545</v>
      </c>
      <c r="I437" s="11" t="s">
        <v>2786</v>
      </c>
      <c r="J437" s="11"/>
      <c r="K437" s="11"/>
      <c r="L437" s="11"/>
      <c r="M437" s="13" t="s">
        <v>2176</v>
      </c>
      <c r="N437" s="12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3" t="s">
        <v>2766</v>
      </c>
      <c r="AB437" s="13"/>
      <c r="AC437" s="13" t="s">
        <v>2317</v>
      </c>
      <c r="AD437" s="13" t="s">
        <v>474</v>
      </c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</row>
    <row r="438" spans="1:40" ht="20.100000000000001" customHeight="1">
      <c r="A438" s="11">
        <v>437</v>
      </c>
      <c r="B438" s="12" t="s">
        <v>38</v>
      </c>
      <c r="C438" s="12" t="s">
        <v>38</v>
      </c>
      <c r="D438" s="13" t="s">
        <v>2312</v>
      </c>
      <c r="E438" s="11"/>
      <c r="F438" s="12"/>
      <c r="G438" s="13" t="str">
        <f>"9781118326015"</f>
        <v>9781118326015</v>
      </c>
      <c r="H438" s="13" t="s">
        <v>1546</v>
      </c>
      <c r="I438" s="11" t="s">
        <v>2786</v>
      </c>
      <c r="J438" s="11"/>
      <c r="K438" s="11"/>
      <c r="L438" s="11"/>
      <c r="M438" s="13" t="s">
        <v>2176</v>
      </c>
      <c r="N438" s="12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3" t="s">
        <v>2766</v>
      </c>
      <c r="AB438" s="13">
        <v>803</v>
      </c>
      <c r="AC438" s="13" t="s">
        <v>2313</v>
      </c>
      <c r="AD438" s="13" t="s">
        <v>475</v>
      </c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</row>
    <row r="439" spans="1:40" ht="20.100000000000001" customHeight="1">
      <c r="A439" s="11">
        <v>438</v>
      </c>
      <c r="B439" s="12" t="s">
        <v>38</v>
      </c>
      <c r="C439" s="12" t="s">
        <v>38</v>
      </c>
      <c r="D439" s="13" t="s">
        <v>2312</v>
      </c>
      <c r="E439" s="11"/>
      <c r="F439" s="12"/>
      <c r="G439" s="13" t="str">
        <f>"9781118279533"</f>
        <v>9781118279533</v>
      </c>
      <c r="H439" s="13" t="s">
        <v>1547</v>
      </c>
      <c r="I439" s="11" t="s">
        <v>2785</v>
      </c>
      <c r="J439" s="11"/>
      <c r="K439" s="11"/>
      <c r="L439" s="11"/>
      <c r="M439" s="13" t="s">
        <v>2176</v>
      </c>
      <c r="N439" s="12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3" t="s">
        <v>2766</v>
      </c>
      <c r="AB439" s="13">
        <v>304.209</v>
      </c>
      <c r="AC439" s="13" t="s">
        <v>2416</v>
      </c>
      <c r="AD439" s="13" t="s">
        <v>476</v>
      </c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</row>
    <row r="440" spans="1:40" ht="20.100000000000001" customHeight="1">
      <c r="A440" s="11">
        <v>439</v>
      </c>
      <c r="B440" s="12" t="s">
        <v>38</v>
      </c>
      <c r="C440" s="12" t="s">
        <v>38</v>
      </c>
      <c r="D440" s="13" t="s">
        <v>2312</v>
      </c>
      <c r="E440" s="11"/>
      <c r="F440" s="12"/>
      <c r="G440" s="13" t="str">
        <f>"9781118447543"</f>
        <v>9781118447543</v>
      </c>
      <c r="H440" s="13" t="s">
        <v>1548</v>
      </c>
      <c r="I440" s="11" t="s">
        <v>2785</v>
      </c>
      <c r="J440" s="11"/>
      <c r="K440" s="11"/>
      <c r="L440" s="11"/>
      <c r="M440" s="13" t="s">
        <v>2176</v>
      </c>
      <c r="N440" s="12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3" t="s">
        <v>2766</v>
      </c>
      <c r="AB440" s="13" t="s">
        <v>2619</v>
      </c>
      <c r="AC440" s="13" t="s">
        <v>2417</v>
      </c>
      <c r="AD440" s="13" t="s">
        <v>477</v>
      </c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</row>
    <row r="441" spans="1:40" ht="20.100000000000001" customHeight="1">
      <c r="A441" s="11">
        <v>440</v>
      </c>
      <c r="B441" s="12" t="s">
        <v>38</v>
      </c>
      <c r="C441" s="12" t="s">
        <v>38</v>
      </c>
      <c r="D441" s="13" t="s">
        <v>2312</v>
      </c>
      <c r="E441" s="11"/>
      <c r="F441" s="12"/>
      <c r="G441" s="13" t="str">
        <f>"9781118322642"</f>
        <v>9781118322642</v>
      </c>
      <c r="H441" s="13" t="s">
        <v>1549</v>
      </c>
      <c r="I441" s="11" t="s">
        <v>2786</v>
      </c>
      <c r="J441" s="11"/>
      <c r="K441" s="11"/>
      <c r="L441" s="11"/>
      <c r="M441" s="13" t="s">
        <v>2176</v>
      </c>
      <c r="N441" s="12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3" t="s">
        <v>2766</v>
      </c>
      <c r="AB441" s="13" t="s">
        <v>2620</v>
      </c>
      <c r="AC441" s="13" t="s">
        <v>2315</v>
      </c>
      <c r="AD441" s="13" t="s">
        <v>478</v>
      </c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</row>
    <row r="442" spans="1:40" ht="20.100000000000001" customHeight="1">
      <c r="A442" s="11">
        <v>441</v>
      </c>
      <c r="B442" s="12" t="s">
        <v>38</v>
      </c>
      <c r="C442" s="12" t="s">
        <v>38</v>
      </c>
      <c r="D442" s="13" t="s">
        <v>2312</v>
      </c>
      <c r="E442" s="11"/>
      <c r="F442" s="12"/>
      <c r="G442" s="13" t="str">
        <f>"9781118339824"</f>
        <v>9781118339824</v>
      </c>
      <c r="H442" s="13" t="s">
        <v>1550</v>
      </c>
      <c r="I442" s="11" t="s">
        <v>2785</v>
      </c>
      <c r="J442" s="11"/>
      <c r="K442" s="11"/>
      <c r="L442" s="11"/>
      <c r="M442" s="13" t="s">
        <v>2176</v>
      </c>
      <c r="N442" s="12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3" t="s">
        <v>2766</v>
      </c>
      <c r="AB442" s="13">
        <v>420.7</v>
      </c>
      <c r="AC442" s="13" t="s">
        <v>2390</v>
      </c>
      <c r="AD442" s="13" t="s">
        <v>479</v>
      </c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</row>
    <row r="443" spans="1:40" ht="20.100000000000001" customHeight="1">
      <c r="A443" s="11">
        <v>442</v>
      </c>
      <c r="B443" s="12" t="s">
        <v>38</v>
      </c>
      <c r="C443" s="12" t="s">
        <v>38</v>
      </c>
      <c r="D443" s="13" t="s">
        <v>2312</v>
      </c>
      <c r="E443" s="11"/>
      <c r="F443" s="12"/>
      <c r="G443" s="13" t="str">
        <f>"9781118589090"</f>
        <v>9781118589090</v>
      </c>
      <c r="H443" s="13" t="s">
        <v>1551</v>
      </c>
      <c r="I443" s="11" t="s">
        <v>2785</v>
      </c>
      <c r="J443" s="11"/>
      <c r="K443" s="11"/>
      <c r="L443" s="11"/>
      <c r="M443" s="13" t="s">
        <v>2176</v>
      </c>
      <c r="N443" s="12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3" t="s">
        <v>2766</v>
      </c>
      <c r="AB443" s="13">
        <v>670.03</v>
      </c>
      <c r="AC443" s="13" t="s">
        <v>2418</v>
      </c>
      <c r="AD443" s="13" t="s">
        <v>480</v>
      </c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</row>
    <row r="444" spans="1:40" ht="20.100000000000001" customHeight="1">
      <c r="A444" s="11">
        <v>443</v>
      </c>
      <c r="B444" s="12" t="s">
        <v>38</v>
      </c>
      <c r="C444" s="12" t="s">
        <v>38</v>
      </c>
      <c r="D444" s="13" t="s">
        <v>2312</v>
      </c>
      <c r="E444" s="11"/>
      <c r="F444" s="12"/>
      <c r="G444" s="13" t="str">
        <f>"9780814724729"</f>
        <v>9780814724729</v>
      </c>
      <c r="H444" s="13" t="s">
        <v>1552</v>
      </c>
      <c r="I444" s="11" t="s">
        <v>2786</v>
      </c>
      <c r="J444" s="11"/>
      <c r="K444" s="11"/>
      <c r="L444" s="11"/>
      <c r="M444" s="13" t="s">
        <v>2195</v>
      </c>
      <c r="N444" s="12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3" t="s">
        <v>2766</v>
      </c>
      <c r="AB444" s="13" t="s">
        <v>2621</v>
      </c>
      <c r="AC444" s="13" t="s">
        <v>2323</v>
      </c>
      <c r="AD444" s="13" t="s">
        <v>481</v>
      </c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</row>
    <row r="445" spans="1:40" ht="20.100000000000001" customHeight="1">
      <c r="A445" s="11">
        <v>444</v>
      </c>
      <c r="B445" s="12" t="s">
        <v>38</v>
      </c>
      <c r="C445" s="12" t="s">
        <v>38</v>
      </c>
      <c r="D445" s="13" t="s">
        <v>2312</v>
      </c>
      <c r="E445" s="11"/>
      <c r="F445" s="12"/>
      <c r="G445" s="13" t="str">
        <f>"9781118326442"</f>
        <v>9781118326442</v>
      </c>
      <c r="H445" s="13" t="s">
        <v>1553</v>
      </c>
      <c r="I445" s="11" t="s">
        <v>2786</v>
      </c>
      <c r="J445" s="11"/>
      <c r="K445" s="11"/>
      <c r="L445" s="11"/>
      <c r="M445" s="13" t="s">
        <v>2176</v>
      </c>
      <c r="N445" s="12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3" t="s">
        <v>2766</v>
      </c>
      <c r="AB445" s="13">
        <v>658.40920189999997</v>
      </c>
      <c r="AC445" s="13" t="s">
        <v>2357</v>
      </c>
      <c r="AD445" s="13" t="s">
        <v>482</v>
      </c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</row>
    <row r="446" spans="1:40" ht="20.100000000000001" customHeight="1">
      <c r="A446" s="11">
        <v>445</v>
      </c>
      <c r="B446" s="12" t="s">
        <v>38</v>
      </c>
      <c r="C446" s="12" t="s">
        <v>38</v>
      </c>
      <c r="D446" s="13" t="s">
        <v>2312</v>
      </c>
      <c r="E446" s="11"/>
      <c r="F446" s="12"/>
      <c r="G446" s="13" t="str">
        <f>"9780199877607"</f>
        <v>9780199877607</v>
      </c>
      <c r="H446" s="13" t="s">
        <v>1554</v>
      </c>
      <c r="I446" s="11" t="s">
        <v>2784</v>
      </c>
      <c r="J446" s="11"/>
      <c r="K446" s="11"/>
      <c r="L446" s="11"/>
      <c r="M446" s="13" t="s">
        <v>2188</v>
      </c>
      <c r="N446" s="12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3" t="s">
        <v>2766</v>
      </c>
      <c r="AB446" s="13">
        <v>616.89</v>
      </c>
      <c r="AC446" s="13" t="s">
        <v>2328</v>
      </c>
      <c r="AD446" s="13" t="s">
        <v>483</v>
      </c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</row>
    <row r="447" spans="1:40" ht="20.100000000000001" customHeight="1">
      <c r="A447" s="11">
        <v>446</v>
      </c>
      <c r="B447" s="12" t="s">
        <v>38</v>
      </c>
      <c r="C447" s="12" t="s">
        <v>38</v>
      </c>
      <c r="D447" s="13" t="s">
        <v>2312</v>
      </c>
      <c r="E447" s="11"/>
      <c r="F447" s="12"/>
      <c r="G447" s="13" t="str">
        <f>"9781476603407"</f>
        <v>9781476603407</v>
      </c>
      <c r="H447" s="13" t="s">
        <v>1555</v>
      </c>
      <c r="I447" s="11" t="s">
        <v>2786</v>
      </c>
      <c r="J447" s="11"/>
      <c r="K447" s="11"/>
      <c r="L447" s="11"/>
      <c r="M447" s="13" t="s">
        <v>2187</v>
      </c>
      <c r="N447" s="12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3" t="s">
        <v>2766</v>
      </c>
      <c r="AB447" s="13">
        <v>81.03</v>
      </c>
      <c r="AC447" s="13" t="s">
        <v>2374</v>
      </c>
      <c r="AD447" s="13" t="s">
        <v>484</v>
      </c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</row>
    <row r="448" spans="1:40" ht="20.100000000000001" customHeight="1">
      <c r="A448" s="11">
        <v>447</v>
      </c>
      <c r="B448" s="12" t="s">
        <v>38</v>
      </c>
      <c r="C448" s="12" t="s">
        <v>38</v>
      </c>
      <c r="D448" s="13" t="s">
        <v>2312</v>
      </c>
      <c r="E448" s="11"/>
      <c r="F448" s="12"/>
      <c r="G448" s="13" t="str">
        <f>"9781476600536"</f>
        <v>9781476600536</v>
      </c>
      <c r="H448" s="13" t="s">
        <v>1556</v>
      </c>
      <c r="I448" s="11" t="s">
        <v>2786</v>
      </c>
      <c r="J448" s="11"/>
      <c r="K448" s="11"/>
      <c r="L448" s="11"/>
      <c r="M448" s="13" t="s">
        <v>2187</v>
      </c>
      <c r="N448" s="12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3" t="s">
        <v>2766</v>
      </c>
      <c r="AB448" s="13">
        <v>810.93602999999996</v>
      </c>
      <c r="AC448" s="13" t="s">
        <v>2313</v>
      </c>
      <c r="AD448" s="13" t="s">
        <v>485</v>
      </c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</row>
    <row r="449" spans="1:40" ht="20.100000000000001" customHeight="1">
      <c r="A449" s="11">
        <v>448</v>
      </c>
      <c r="B449" s="12" t="s">
        <v>38</v>
      </c>
      <c r="C449" s="12" t="s">
        <v>38</v>
      </c>
      <c r="D449" s="13" t="s">
        <v>2312</v>
      </c>
      <c r="E449" s="11"/>
      <c r="F449" s="12"/>
      <c r="G449" s="13" t="str">
        <f>"9780821389287"</f>
        <v>9780821389287</v>
      </c>
      <c r="H449" s="13" t="s">
        <v>1557</v>
      </c>
      <c r="I449" s="11" t="s">
        <v>2785</v>
      </c>
      <c r="J449" s="11"/>
      <c r="K449" s="11"/>
      <c r="L449" s="11"/>
      <c r="M449" s="13" t="s">
        <v>2202</v>
      </c>
      <c r="N449" s="12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3" t="s">
        <v>2766</v>
      </c>
      <c r="AB449" s="13">
        <v>332</v>
      </c>
      <c r="AC449" s="13" t="s">
        <v>2419</v>
      </c>
      <c r="AD449" s="13" t="s">
        <v>486</v>
      </c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</row>
    <row r="450" spans="1:40" ht="20.100000000000001" customHeight="1">
      <c r="A450" s="11">
        <v>449</v>
      </c>
      <c r="B450" s="12" t="s">
        <v>38</v>
      </c>
      <c r="C450" s="12" t="s">
        <v>38</v>
      </c>
      <c r="D450" s="13" t="s">
        <v>2312</v>
      </c>
      <c r="E450" s="11"/>
      <c r="F450" s="12"/>
      <c r="G450" s="13" t="str">
        <f>"9781476601540"</f>
        <v>9781476601540</v>
      </c>
      <c r="H450" s="13" t="s">
        <v>1558</v>
      </c>
      <c r="I450" s="11" t="s">
        <v>2786</v>
      </c>
      <c r="J450" s="11"/>
      <c r="K450" s="11"/>
      <c r="L450" s="11"/>
      <c r="M450" s="13" t="s">
        <v>2187</v>
      </c>
      <c r="N450" s="12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3" t="s">
        <v>2766</v>
      </c>
      <c r="AB450" s="13">
        <v>791.53089999999997</v>
      </c>
      <c r="AC450" s="13" t="s">
        <v>2315</v>
      </c>
      <c r="AD450" s="13" t="s">
        <v>487</v>
      </c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</row>
    <row r="451" spans="1:40" ht="20.100000000000001" customHeight="1">
      <c r="A451" s="11">
        <v>450</v>
      </c>
      <c r="B451" s="12" t="s">
        <v>38</v>
      </c>
      <c r="C451" s="12" t="s">
        <v>38</v>
      </c>
      <c r="D451" s="13" t="s">
        <v>2312</v>
      </c>
      <c r="E451" s="11"/>
      <c r="F451" s="12"/>
      <c r="G451" s="13" t="str">
        <f>"9780814790489"</f>
        <v>9780814790489</v>
      </c>
      <c r="H451" s="13" t="s">
        <v>1559</v>
      </c>
      <c r="I451" s="11" t="s">
        <v>2786</v>
      </c>
      <c r="J451" s="11"/>
      <c r="K451" s="11"/>
      <c r="L451" s="11"/>
      <c r="M451" s="13" t="s">
        <v>2195</v>
      </c>
      <c r="N451" s="12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3" t="s">
        <v>2766</v>
      </c>
      <c r="AB451" s="13">
        <v>305.800973</v>
      </c>
      <c r="AC451" s="13" t="s">
        <v>2330</v>
      </c>
      <c r="AD451" s="13" t="s">
        <v>488</v>
      </c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</row>
    <row r="452" spans="1:40" ht="20.100000000000001" customHeight="1">
      <c r="A452" s="11">
        <v>451</v>
      </c>
      <c r="B452" s="12" t="s">
        <v>38</v>
      </c>
      <c r="C452" s="12" t="s">
        <v>38</v>
      </c>
      <c r="D452" s="13" t="s">
        <v>2312</v>
      </c>
      <c r="E452" s="11"/>
      <c r="F452" s="12"/>
      <c r="G452" s="13" t="str">
        <f>"9780199811458"</f>
        <v>9780199811458</v>
      </c>
      <c r="H452" s="13" t="s">
        <v>1560</v>
      </c>
      <c r="I452" s="11" t="s">
        <v>2786</v>
      </c>
      <c r="J452" s="11"/>
      <c r="K452" s="11"/>
      <c r="L452" s="11"/>
      <c r="M452" s="13" t="s">
        <v>2188</v>
      </c>
      <c r="N452" s="12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3" t="s">
        <v>2766</v>
      </c>
      <c r="AB452" s="13" t="s">
        <v>2622</v>
      </c>
      <c r="AC452" s="13" t="s">
        <v>2318</v>
      </c>
      <c r="AD452" s="13" t="s">
        <v>489</v>
      </c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</row>
    <row r="453" spans="1:40" ht="20.100000000000001" customHeight="1">
      <c r="A453" s="11">
        <v>452</v>
      </c>
      <c r="B453" s="12" t="s">
        <v>38</v>
      </c>
      <c r="C453" s="12" t="s">
        <v>38</v>
      </c>
      <c r="D453" s="13" t="s">
        <v>2312</v>
      </c>
      <c r="E453" s="11"/>
      <c r="F453" s="12"/>
      <c r="G453" s="13" t="str">
        <f>"9789047430629"</f>
        <v>9789047430629</v>
      </c>
      <c r="H453" s="13" t="s">
        <v>1561</v>
      </c>
      <c r="I453" s="11" t="s">
        <v>2783</v>
      </c>
      <c r="J453" s="11"/>
      <c r="K453" s="11"/>
      <c r="L453" s="11"/>
      <c r="M453" s="13" t="s">
        <v>2184</v>
      </c>
      <c r="N453" s="12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3" t="s">
        <v>2766</v>
      </c>
      <c r="AB453" s="13">
        <v>585</v>
      </c>
      <c r="AC453" s="13" t="s">
        <v>2420</v>
      </c>
      <c r="AD453" s="13" t="s">
        <v>490</v>
      </c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</row>
    <row r="454" spans="1:40" ht="20.100000000000001" customHeight="1">
      <c r="A454" s="11">
        <v>453</v>
      </c>
      <c r="B454" s="12" t="s">
        <v>38</v>
      </c>
      <c r="C454" s="12" t="s">
        <v>38</v>
      </c>
      <c r="D454" s="13" t="s">
        <v>2312</v>
      </c>
      <c r="E454" s="11"/>
      <c r="F454" s="12"/>
      <c r="G454" s="13" t="str">
        <f>"9781476601557"</f>
        <v>9781476601557</v>
      </c>
      <c r="H454" s="13" t="s">
        <v>1562</v>
      </c>
      <c r="I454" s="11" t="s">
        <v>2786</v>
      </c>
      <c r="J454" s="11"/>
      <c r="K454" s="11"/>
      <c r="L454" s="11"/>
      <c r="M454" s="13" t="s">
        <v>2187</v>
      </c>
      <c r="N454" s="12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3" t="s">
        <v>2766</v>
      </c>
      <c r="AB454" s="13">
        <v>623.74650972999996</v>
      </c>
      <c r="AC454" s="13" t="s">
        <v>2421</v>
      </c>
      <c r="AD454" s="13" t="s">
        <v>491</v>
      </c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</row>
    <row r="455" spans="1:40" ht="20.100000000000001" customHeight="1">
      <c r="A455" s="11">
        <v>454</v>
      </c>
      <c r="B455" s="12" t="s">
        <v>38</v>
      </c>
      <c r="C455" s="12" t="s">
        <v>38</v>
      </c>
      <c r="D455" s="13" t="s">
        <v>2312</v>
      </c>
      <c r="E455" s="11"/>
      <c r="F455" s="12"/>
      <c r="G455" s="13" t="str">
        <f>"9789814343527"</f>
        <v>9789814343527</v>
      </c>
      <c r="H455" s="13" t="s">
        <v>1563</v>
      </c>
      <c r="I455" s="11" t="s">
        <v>2786</v>
      </c>
      <c r="J455" s="11"/>
      <c r="K455" s="11"/>
      <c r="L455" s="11"/>
      <c r="M455" s="13" t="s">
        <v>2193</v>
      </c>
      <c r="N455" s="12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3" t="s">
        <v>2766</v>
      </c>
      <c r="AB455" s="13">
        <v>621.04</v>
      </c>
      <c r="AC455" s="13" t="s">
        <v>2422</v>
      </c>
      <c r="AD455" s="13" t="s">
        <v>492</v>
      </c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</row>
    <row r="456" spans="1:40" ht="20.100000000000001" customHeight="1">
      <c r="A456" s="11">
        <v>455</v>
      </c>
      <c r="B456" s="12" t="s">
        <v>38</v>
      </c>
      <c r="C456" s="12" t="s">
        <v>38</v>
      </c>
      <c r="D456" s="13" t="s">
        <v>2312</v>
      </c>
      <c r="E456" s="11"/>
      <c r="F456" s="12"/>
      <c r="G456" s="13" t="str">
        <f>"9781118329344"</f>
        <v>9781118329344</v>
      </c>
      <c r="H456" s="13" t="s">
        <v>1564</v>
      </c>
      <c r="I456" s="11" t="s">
        <v>2785</v>
      </c>
      <c r="J456" s="11"/>
      <c r="K456" s="11"/>
      <c r="L456" s="11"/>
      <c r="M456" s="13" t="s">
        <v>2176</v>
      </c>
      <c r="N456" s="12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3" t="s">
        <v>2766</v>
      </c>
      <c r="AB456" s="13">
        <v>301.02999999999997</v>
      </c>
      <c r="AC456" s="13" t="s">
        <v>2318</v>
      </c>
      <c r="AD456" s="13" t="s">
        <v>493</v>
      </c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</row>
    <row r="457" spans="1:40" ht="20.100000000000001" customHeight="1">
      <c r="A457" s="11">
        <v>456</v>
      </c>
      <c r="B457" s="12" t="s">
        <v>38</v>
      </c>
      <c r="C457" s="12" t="s">
        <v>38</v>
      </c>
      <c r="D457" s="13" t="s">
        <v>2312</v>
      </c>
      <c r="E457" s="11"/>
      <c r="F457" s="12"/>
      <c r="G457" s="13" t="str">
        <f>"9781583673430"</f>
        <v>9781583673430</v>
      </c>
      <c r="H457" s="13" t="s">
        <v>1565</v>
      </c>
      <c r="I457" s="11" t="s">
        <v>2786</v>
      </c>
      <c r="J457" s="11"/>
      <c r="K457" s="11"/>
      <c r="L457" s="11"/>
      <c r="M457" s="13" t="s">
        <v>2203</v>
      </c>
      <c r="N457" s="12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3" t="s">
        <v>2766</v>
      </c>
      <c r="AB457" s="13">
        <v>327.11700000000002</v>
      </c>
      <c r="AC457" s="13" t="s">
        <v>2423</v>
      </c>
      <c r="AD457" s="13" t="s">
        <v>494</v>
      </c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</row>
    <row r="458" spans="1:40" ht="20.100000000000001" customHeight="1">
      <c r="A458" s="11">
        <v>457</v>
      </c>
      <c r="B458" s="12" t="s">
        <v>38</v>
      </c>
      <c r="C458" s="12" t="s">
        <v>38</v>
      </c>
      <c r="D458" s="13" t="s">
        <v>2312</v>
      </c>
      <c r="E458" s="11"/>
      <c r="F458" s="12"/>
      <c r="G458" s="13" t="str">
        <f>"9781849734813"</f>
        <v>9781849734813</v>
      </c>
      <c r="H458" s="13" t="s">
        <v>1566</v>
      </c>
      <c r="I458" s="11" t="s">
        <v>2785</v>
      </c>
      <c r="J458" s="11"/>
      <c r="K458" s="11"/>
      <c r="L458" s="11"/>
      <c r="M458" s="13" t="s">
        <v>2204</v>
      </c>
      <c r="N458" s="12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3" t="s">
        <v>2766</v>
      </c>
      <c r="AB458" s="13">
        <v>664.07</v>
      </c>
      <c r="AC458" s="13" t="s">
        <v>2424</v>
      </c>
      <c r="AD458" s="13" t="s">
        <v>495</v>
      </c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</row>
    <row r="459" spans="1:40" ht="20.100000000000001" customHeight="1">
      <c r="A459" s="11">
        <v>458</v>
      </c>
      <c r="B459" s="12" t="s">
        <v>38</v>
      </c>
      <c r="C459" s="12" t="s">
        <v>38</v>
      </c>
      <c r="D459" s="13" t="s">
        <v>2312</v>
      </c>
      <c r="E459" s="11"/>
      <c r="F459" s="12"/>
      <c r="G459" s="13" t="str">
        <f>"9789004226166"</f>
        <v>9789004226166</v>
      </c>
      <c r="H459" s="13" t="s">
        <v>1567</v>
      </c>
      <c r="I459" s="11" t="s">
        <v>2786</v>
      </c>
      <c r="J459" s="11"/>
      <c r="K459" s="11"/>
      <c r="L459" s="11"/>
      <c r="M459" s="13" t="s">
        <v>2184</v>
      </c>
      <c r="N459" s="12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3" t="s">
        <v>2766</v>
      </c>
      <c r="AB459" s="13">
        <v>342.08300000000003</v>
      </c>
      <c r="AC459" s="13" t="s">
        <v>2334</v>
      </c>
      <c r="AD459" s="13" t="s">
        <v>496</v>
      </c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</row>
    <row r="460" spans="1:40" ht="20.100000000000001" customHeight="1">
      <c r="A460" s="11">
        <v>459</v>
      </c>
      <c r="B460" s="12" t="s">
        <v>38</v>
      </c>
      <c r="C460" s="12" t="s">
        <v>38</v>
      </c>
      <c r="D460" s="13" t="s">
        <v>2312</v>
      </c>
      <c r="E460" s="11"/>
      <c r="F460" s="12"/>
      <c r="G460" s="13" t="str">
        <f>"9780814771907"</f>
        <v>9780814771907</v>
      </c>
      <c r="H460" s="13" t="s">
        <v>1568</v>
      </c>
      <c r="I460" s="11" t="s">
        <v>2786</v>
      </c>
      <c r="J460" s="11"/>
      <c r="K460" s="11"/>
      <c r="L460" s="11"/>
      <c r="M460" s="13" t="s">
        <v>2195</v>
      </c>
      <c r="N460" s="12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3" t="s">
        <v>2766</v>
      </c>
      <c r="AB460" s="13">
        <v>302.23095479199998</v>
      </c>
      <c r="AC460" s="13" t="s">
        <v>2425</v>
      </c>
      <c r="AD460" s="13" t="s">
        <v>497</v>
      </c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</row>
    <row r="461" spans="1:40" ht="20.100000000000001" customHeight="1">
      <c r="A461" s="11">
        <v>460</v>
      </c>
      <c r="B461" s="12" t="s">
        <v>38</v>
      </c>
      <c r="C461" s="12" t="s">
        <v>38</v>
      </c>
      <c r="D461" s="13" t="s">
        <v>2312</v>
      </c>
      <c r="E461" s="11"/>
      <c r="F461" s="12"/>
      <c r="G461" s="13" t="str">
        <f>"9780199974986"</f>
        <v>9780199974986</v>
      </c>
      <c r="H461" s="13" t="s">
        <v>1569</v>
      </c>
      <c r="I461" s="11" t="s">
        <v>2786</v>
      </c>
      <c r="J461" s="11"/>
      <c r="K461" s="11"/>
      <c r="L461" s="11"/>
      <c r="M461" s="13" t="s">
        <v>2188</v>
      </c>
      <c r="N461" s="12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3" t="s">
        <v>2766</v>
      </c>
      <c r="AB461" s="13">
        <v>951.06</v>
      </c>
      <c r="AC461" s="13" t="s">
        <v>2317</v>
      </c>
      <c r="AD461" s="13" t="s">
        <v>498</v>
      </c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</row>
    <row r="462" spans="1:40" ht="20.100000000000001" customHeight="1">
      <c r="A462" s="11">
        <v>461</v>
      </c>
      <c r="B462" s="12" t="s">
        <v>38</v>
      </c>
      <c r="C462" s="12" t="s">
        <v>38</v>
      </c>
      <c r="D462" s="13" t="s">
        <v>2312</v>
      </c>
      <c r="E462" s="11"/>
      <c r="F462" s="12"/>
      <c r="G462" s="13" t="str">
        <f>"9781118690901"</f>
        <v>9781118690901</v>
      </c>
      <c r="H462" s="13" t="s">
        <v>1570</v>
      </c>
      <c r="I462" s="11" t="s">
        <v>2771</v>
      </c>
      <c r="J462" s="11"/>
      <c r="K462" s="11"/>
      <c r="L462" s="11"/>
      <c r="M462" s="13" t="s">
        <v>2176</v>
      </c>
      <c r="N462" s="12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3" t="s">
        <v>2766</v>
      </c>
      <c r="AB462" s="13">
        <v>610.73030000000006</v>
      </c>
      <c r="AC462" s="13" t="s">
        <v>2426</v>
      </c>
      <c r="AD462" s="13" t="s">
        <v>499</v>
      </c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</row>
    <row r="463" spans="1:40" ht="20.100000000000001" customHeight="1">
      <c r="A463" s="11">
        <v>462</v>
      </c>
      <c r="B463" s="12" t="s">
        <v>38</v>
      </c>
      <c r="C463" s="12" t="s">
        <v>38</v>
      </c>
      <c r="D463" s="13" t="s">
        <v>2312</v>
      </c>
      <c r="E463" s="11"/>
      <c r="F463" s="12"/>
      <c r="G463" s="13" t="str">
        <f>"9789812830104"</f>
        <v>9789812830104</v>
      </c>
      <c r="H463" s="13" t="s">
        <v>1571</v>
      </c>
      <c r="I463" s="11" t="s">
        <v>2787</v>
      </c>
      <c r="J463" s="11"/>
      <c r="K463" s="11"/>
      <c r="L463" s="11"/>
      <c r="M463" s="13" t="s">
        <v>2193</v>
      </c>
      <c r="N463" s="12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3" t="s">
        <v>2766</v>
      </c>
      <c r="AB463" s="13">
        <v>515</v>
      </c>
      <c r="AC463" s="13" t="s">
        <v>2322</v>
      </c>
      <c r="AD463" s="13" t="s">
        <v>500</v>
      </c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</row>
    <row r="464" spans="1:40" ht="20.100000000000001" customHeight="1">
      <c r="A464" s="11">
        <v>463</v>
      </c>
      <c r="B464" s="12" t="s">
        <v>38</v>
      </c>
      <c r="C464" s="12" t="s">
        <v>38</v>
      </c>
      <c r="D464" s="13" t="s">
        <v>2312</v>
      </c>
      <c r="E464" s="11"/>
      <c r="F464" s="12"/>
      <c r="G464" s="13" t="str">
        <f>"9780814708316"</f>
        <v>9780814708316</v>
      </c>
      <c r="H464" s="13" t="s">
        <v>1572</v>
      </c>
      <c r="I464" s="11" t="s">
        <v>2786</v>
      </c>
      <c r="J464" s="11"/>
      <c r="K464" s="11"/>
      <c r="L464" s="11"/>
      <c r="M464" s="13" t="s">
        <v>2195</v>
      </c>
      <c r="N464" s="12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3" t="s">
        <v>2766</v>
      </c>
      <c r="AB464" s="13" t="s">
        <v>2623</v>
      </c>
      <c r="AC464" s="13" t="s">
        <v>2334</v>
      </c>
      <c r="AD464" s="13" t="s">
        <v>501</v>
      </c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</row>
    <row r="465" spans="1:40" ht="20.100000000000001" customHeight="1">
      <c r="A465" s="11">
        <v>464</v>
      </c>
      <c r="B465" s="12" t="s">
        <v>38</v>
      </c>
      <c r="C465" s="12" t="s">
        <v>38</v>
      </c>
      <c r="D465" s="13" t="s">
        <v>2312</v>
      </c>
      <c r="E465" s="11"/>
      <c r="F465" s="12"/>
      <c r="G465" s="13" t="str">
        <f>"9781615309757"</f>
        <v>9781615309757</v>
      </c>
      <c r="H465" s="13" t="s">
        <v>1573</v>
      </c>
      <c r="I465" s="11" t="s">
        <v>2786</v>
      </c>
      <c r="J465" s="11"/>
      <c r="K465" s="11"/>
      <c r="L465" s="11"/>
      <c r="M465" s="13" t="s">
        <v>2191</v>
      </c>
      <c r="N465" s="12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3" t="s">
        <v>2766</v>
      </c>
      <c r="AB465" s="13">
        <v>942</v>
      </c>
      <c r="AC465" s="13" t="s">
        <v>2317</v>
      </c>
      <c r="AD465" s="13" t="s">
        <v>502</v>
      </c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</row>
    <row r="466" spans="1:40" ht="20.100000000000001" customHeight="1">
      <c r="A466" s="11">
        <v>465</v>
      </c>
      <c r="B466" s="12" t="s">
        <v>38</v>
      </c>
      <c r="C466" s="12" t="s">
        <v>38</v>
      </c>
      <c r="D466" s="13" t="s">
        <v>2312</v>
      </c>
      <c r="E466" s="11"/>
      <c r="F466" s="12"/>
      <c r="G466" s="13" t="str">
        <f>"9781615309818"</f>
        <v>9781615309818</v>
      </c>
      <c r="H466" s="13" t="s">
        <v>1574</v>
      </c>
      <c r="I466" s="11" t="s">
        <v>2786</v>
      </c>
      <c r="J466" s="11"/>
      <c r="K466" s="11"/>
      <c r="L466" s="11"/>
      <c r="M466" s="13" t="s">
        <v>2191</v>
      </c>
      <c r="N466" s="12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3" t="s">
        <v>2766</v>
      </c>
      <c r="AB466" s="13">
        <v>944</v>
      </c>
      <c r="AC466" s="13" t="s">
        <v>2317</v>
      </c>
      <c r="AD466" s="13" t="s">
        <v>503</v>
      </c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</row>
    <row r="467" spans="1:40" ht="20.100000000000001" customHeight="1">
      <c r="A467" s="11">
        <v>466</v>
      </c>
      <c r="B467" s="12" t="s">
        <v>38</v>
      </c>
      <c r="C467" s="12" t="s">
        <v>38</v>
      </c>
      <c r="D467" s="13" t="s">
        <v>2312</v>
      </c>
      <c r="E467" s="11"/>
      <c r="F467" s="12"/>
      <c r="G467" s="13" t="str">
        <f>"9781615309832"</f>
        <v>9781615309832</v>
      </c>
      <c r="H467" s="13" t="s">
        <v>1575</v>
      </c>
      <c r="I467" s="11" t="s">
        <v>2786</v>
      </c>
      <c r="J467" s="11"/>
      <c r="K467" s="11"/>
      <c r="L467" s="11"/>
      <c r="M467" s="13" t="s">
        <v>2191</v>
      </c>
      <c r="N467" s="12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3" t="s">
        <v>2766</v>
      </c>
      <c r="AB467" s="13">
        <v>943</v>
      </c>
      <c r="AC467" s="13" t="s">
        <v>2317</v>
      </c>
      <c r="AD467" s="13" t="s">
        <v>504</v>
      </c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</row>
    <row r="468" spans="1:40" ht="20.100000000000001" customHeight="1">
      <c r="A468" s="11">
        <v>467</v>
      </c>
      <c r="B468" s="12" t="s">
        <v>38</v>
      </c>
      <c r="C468" s="12" t="s">
        <v>38</v>
      </c>
      <c r="D468" s="13" t="s">
        <v>2312</v>
      </c>
      <c r="E468" s="11"/>
      <c r="F468" s="12"/>
      <c r="G468" s="13" t="str">
        <f>"9781615309894"</f>
        <v>9781615309894</v>
      </c>
      <c r="H468" s="13" t="s">
        <v>1576</v>
      </c>
      <c r="I468" s="11" t="s">
        <v>2786</v>
      </c>
      <c r="J468" s="11"/>
      <c r="K468" s="11"/>
      <c r="L468" s="11"/>
      <c r="M468" s="13" t="s">
        <v>2191</v>
      </c>
      <c r="N468" s="12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3" t="s">
        <v>2766</v>
      </c>
      <c r="AB468" s="13">
        <v>945</v>
      </c>
      <c r="AC468" s="13" t="s">
        <v>2317</v>
      </c>
      <c r="AD468" s="13" t="s">
        <v>505</v>
      </c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</row>
    <row r="469" spans="1:40" ht="20.100000000000001" customHeight="1">
      <c r="A469" s="11">
        <v>468</v>
      </c>
      <c r="B469" s="12" t="s">
        <v>38</v>
      </c>
      <c r="C469" s="12" t="s">
        <v>38</v>
      </c>
      <c r="D469" s="13" t="s">
        <v>2312</v>
      </c>
      <c r="E469" s="11"/>
      <c r="F469" s="12"/>
      <c r="G469" s="13" t="str">
        <f>"9781615309931"</f>
        <v>9781615309931</v>
      </c>
      <c r="H469" s="13" t="s">
        <v>1577</v>
      </c>
      <c r="I469" s="11" t="s">
        <v>2786</v>
      </c>
      <c r="J469" s="11"/>
      <c r="K469" s="11"/>
      <c r="L469" s="11"/>
      <c r="M469" s="13" t="s">
        <v>2191</v>
      </c>
      <c r="N469" s="12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3" t="s">
        <v>2766</v>
      </c>
      <c r="AB469" s="13">
        <v>946</v>
      </c>
      <c r="AC469" s="13" t="s">
        <v>2317</v>
      </c>
      <c r="AD469" s="13" t="s">
        <v>506</v>
      </c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</row>
    <row r="470" spans="1:40" ht="20.100000000000001" customHeight="1">
      <c r="A470" s="11">
        <v>469</v>
      </c>
      <c r="B470" s="12" t="s">
        <v>38</v>
      </c>
      <c r="C470" s="12" t="s">
        <v>38</v>
      </c>
      <c r="D470" s="13" t="s">
        <v>2312</v>
      </c>
      <c r="E470" s="11"/>
      <c r="F470" s="12"/>
      <c r="G470" s="13" t="str">
        <f>"9781615309870"</f>
        <v>9781615309870</v>
      </c>
      <c r="H470" s="13" t="s">
        <v>1578</v>
      </c>
      <c r="I470" s="11" t="s">
        <v>2786</v>
      </c>
      <c r="J470" s="11"/>
      <c r="K470" s="11"/>
      <c r="L470" s="11"/>
      <c r="M470" s="13" t="s">
        <v>2191</v>
      </c>
      <c r="N470" s="12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3" t="s">
        <v>2766</v>
      </c>
      <c r="AB470" s="13">
        <v>943.70029999999997</v>
      </c>
      <c r="AC470" s="13" t="s">
        <v>2317</v>
      </c>
      <c r="AD470" s="13" t="s">
        <v>507</v>
      </c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</row>
    <row r="471" spans="1:40" ht="20.100000000000001" customHeight="1">
      <c r="A471" s="11">
        <v>470</v>
      </c>
      <c r="B471" s="12" t="s">
        <v>38</v>
      </c>
      <c r="C471" s="12" t="s">
        <v>38</v>
      </c>
      <c r="D471" s="13" t="s">
        <v>2312</v>
      </c>
      <c r="E471" s="11"/>
      <c r="F471" s="12"/>
      <c r="G471" s="13" t="str">
        <f>"9781615309955"</f>
        <v>9781615309955</v>
      </c>
      <c r="H471" s="13" t="s">
        <v>1579</v>
      </c>
      <c r="I471" s="11" t="s">
        <v>2786</v>
      </c>
      <c r="J471" s="11"/>
      <c r="K471" s="11"/>
      <c r="L471" s="11"/>
      <c r="M471" s="13" t="s">
        <v>2191</v>
      </c>
      <c r="N471" s="12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3" t="s">
        <v>2766</v>
      </c>
      <c r="AB471" s="13">
        <v>948</v>
      </c>
      <c r="AC471" s="13" t="s">
        <v>2317</v>
      </c>
      <c r="AD471" s="13" t="s">
        <v>508</v>
      </c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</row>
    <row r="472" spans="1:40" ht="20.100000000000001" customHeight="1">
      <c r="A472" s="11">
        <v>471</v>
      </c>
      <c r="B472" s="12" t="s">
        <v>38</v>
      </c>
      <c r="C472" s="12" t="s">
        <v>38</v>
      </c>
      <c r="D472" s="13" t="s">
        <v>2312</v>
      </c>
      <c r="E472" s="11"/>
      <c r="F472" s="12"/>
      <c r="G472" s="13" t="str">
        <f>"9781615309771"</f>
        <v>9781615309771</v>
      </c>
      <c r="H472" s="13" t="s">
        <v>1580</v>
      </c>
      <c r="I472" s="11" t="s">
        <v>2786</v>
      </c>
      <c r="J472" s="11"/>
      <c r="K472" s="11"/>
      <c r="L472" s="11"/>
      <c r="M472" s="13" t="s">
        <v>2191</v>
      </c>
      <c r="N472" s="12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3" t="s">
        <v>2766</v>
      </c>
      <c r="AB472" s="13">
        <v>943.6</v>
      </c>
      <c r="AC472" s="13" t="s">
        <v>2317</v>
      </c>
      <c r="AD472" s="13" t="s">
        <v>509</v>
      </c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</row>
    <row r="473" spans="1:40" ht="20.100000000000001" customHeight="1">
      <c r="A473" s="11">
        <v>472</v>
      </c>
      <c r="B473" s="12" t="s">
        <v>38</v>
      </c>
      <c r="C473" s="12" t="s">
        <v>38</v>
      </c>
      <c r="D473" s="13" t="s">
        <v>2312</v>
      </c>
      <c r="E473" s="11"/>
      <c r="F473" s="12"/>
      <c r="G473" s="13" t="str">
        <f>"9781615309917"</f>
        <v>9781615309917</v>
      </c>
      <c r="H473" s="13" t="s">
        <v>1581</v>
      </c>
      <c r="I473" s="11" t="s">
        <v>2786</v>
      </c>
      <c r="J473" s="11"/>
      <c r="K473" s="11"/>
      <c r="L473" s="11"/>
      <c r="M473" s="13" t="s">
        <v>2191</v>
      </c>
      <c r="N473" s="12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3" t="s">
        <v>2766</v>
      </c>
      <c r="AB473" s="13">
        <v>947.9</v>
      </c>
      <c r="AC473" s="13" t="s">
        <v>2317</v>
      </c>
      <c r="AD473" s="13" t="s">
        <v>510</v>
      </c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</row>
    <row r="474" spans="1:40" ht="20.100000000000001" customHeight="1">
      <c r="A474" s="11">
        <v>473</v>
      </c>
      <c r="B474" s="12" t="s">
        <v>38</v>
      </c>
      <c r="C474" s="12" t="s">
        <v>38</v>
      </c>
      <c r="D474" s="13" t="s">
        <v>2312</v>
      </c>
      <c r="E474" s="11"/>
      <c r="F474" s="12"/>
      <c r="G474" s="13" t="str">
        <f>"9781615309856"</f>
        <v>9781615309856</v>
      </c>
      <c r="H474" s="13" t="s">
        <v>1582</v>
      </c>
      <c r="I474" s="11" t="s">
        <v>2786</v>
      </c>
      <c r="J474" s="11"/>
      <c r="K474" s="11"/>
      <c r="L474" s="11"/>
      <c r="M474" s="13" t="s">
        <v>2191</v>
      </c>
      <c r="N474" s="12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3" t="s">
        <v>2766</v>
      </c>
      <c r="AB474" s="13">
        <v>940.03</v>
      </c>
      <c r="AC474" s="13" t="s">
        <v>2317</v>
      </c>
      <c r="AD474" s="13" t="s">
        <v>511</v>
      </c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</row>
    <row r="475" spans="1:40" ht="20.100000000000001" customHeight="1">
      <c r="A475" s="11">
        <v>474</v>
      </c>
      <c r="B475" s="12" t="s">
        <v>38</v>
      </c>
      <c r="C475" s="12" t="s">
        <v>38</v>
      </c>
      <c r="D475" s="13" t="s">
        <v>2312</v>
      </c>
      <c r="E475" s="11"/>
      <c r="F475" s="12"/>
      <c r="G475" s="13" t="str">
        <f>"9781615309795"</f>
        <v>9781615309795</v>
      </c>
      <c r="H475" s="13" t="s">
        <v>1583</v>
      </c>
      <c r="I475" s="11" t="s">
        <v>2786</v>
      </c>
      <c r="J475" s="11"/>
      <c r="K475" s="11"/>
      <c r="L475" s="11"/>
      <c r="M475" s="13" t="s">
        <v>2191</v>
      </c>
      <c r="N475" s="12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3" t="s">
        <v>2766</v>
      </c>
      <c r="AB475" s="13">
        <v>949.2</v>
      </c>
      <c r="AC475" s="13" t="s">
        <v>2317</v>
      </c>
      <c r="AD475" s="13" t="s">
        <v>512</v>
      </c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</row>
    <row r="476" spans="1:40" ht="20.100000000000001" customHeight="1">
      <c r="A476" s="11">
        <v>475</v>
      </c>
      <c r="B476" s="12" t="s">
        <v>38</v>
      </c>
      <c r="C476" s="12" t="s">
        <v>38</v>
      </c>
      <c r="D476" s="13" t="s">
        <v>2312</v>
      </c>
      <c r="E476" s="11"/>
      <c r="F476" s="12"/>
      <c r="G476" s="13" t="str">
        <f>"9781622750047"</f>
        <v>9781622750047</v>
      </c>
      <c r="H476" s="13" t="s">
        <v>1584</v>
      </c>
      <c r="I476" s="11" t="s">
        <v>2786</v>
      </c>
      <c r="J476" s="11"/>
      <c r="K476" s="11"/>
      <c r="L476" s="11"/>
      <c r="M476" s="13" t="s">
        <v>2191</v>
      </c>
      <c r="N476" s="12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3" t="s">
        <v>2766</v>
      </c>
      <c r="AB476" s="13">
        <v>880.09</v>
      </c>
      <c r="AC476" s="13" t="s">
        <v>2313</v>
      </c>
      <c r="AD476" s="13" t="s">
        <v>513</v>
      </c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</row>
    <row r="477" spans="1:40" ht="20.100000000000001" customHeight="1">
      <c r="A477" s="11">
        <v>476</v>
      </c>
      <c r="B477" s="12" t="s">
        <v>38</v>
      </c>
      <c r="C477" s="12" t="s">
        <v>38</v>
      </c>
      <c r="D477" s="13" t="s">
        <v>2312</v>
      </c>
      <c r="E477" s="11"/>
      <c r="F477" s="12"/>
      <c r="G477" s="13" t="str">
        <f>"9781622750122"</f>
        <v>9781622750122</v>
      </c>
      <c r="H477" s="13" t="s">
        <v>1585</v>
      </c>
      <c r="I477" s="11" t="s">
        <v>2786</v>
      </c>
      <c r="J477" s="11"/>
      <c r="K477" s="11"/>
      <c r="L477" s="11"/>
      <c r="M477" s="13" t="s">
        <v>2191</v>
      </c>
      <c r="N477" s="12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3" t="s">
        <v>2766</v>
      </c>
      <c r="AB477" s="13" t="s">
        <v>2624</v>
      </c>
      <c r="AC477" s="13" t="s">
        <v>2313</v>
      </c>
      <c r="AD477" s="13" t="s">
        <v>514</v>
      </c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</row>
    <row r="478" spans="1:40" ht="20.100000000000001" customHeight="1">
      <c r="A478" s="11">
        <v>477</v>
      </c>
      <c r="B478" s="12" t="s">
        <v>38</v>
      </c>
      <c r="C478" s="12" t="s">
        <v>38</v>
      </c>
      <c r="D478" s="13" t="s">
        <v>2312</v>
      </c>
      <c r="E478" s="11"/>
      <c r="F478" s="12"/>
      <c r="G478" s="13" t="str">
        <f>"9781622750108"</f>
        <v>9781622750108</v>
      </c>
      <c r="H478" s="13" t="s">
        <v>1586</v>
      </c>
      <c r="I478" s="11" t="s">
        <v>2786</v>
      </c>
      <c r="J478" s="11"/>
      <c r="K478" s="11"/>
      <c r="L478" s="11"/>
      <c r="M478" s="13" t="s">
        <v>2191</v>
      </c>
      <c r="N478" s="12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3" t="s">
        <v>2766</v>
      </c>
      <c r="AB478" s="13" t="s">
        <v>2625</v>
      </c>
      <c r="AC478" s="13" t="s">
        <v>2313</v>
      </c>
      <c r="AD478" s="13" t="s">
        <v>515</v>
      </c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</row>
    <row r="479" spans="1:40" ht="20.100000000000001" customHeight="1">
      <c r="A479" s="11">
        <v>478</v>
      </c>
      <c r="B479" s="12" t="s">
        <v>38</v>
      </c>
      <c r="C479" s="12" t="s">
        <v>38</v>
      </c>
      <c r="D479" s="13" t="s">
        <v>2312</v>
      </c>
      <c r="E479" s="11"/>
      <c r="F479" s="12"/>
      <c r="G479" s="13" t="str">
        <f>"9781622750061"</f>
        <v>9781622750061</v>
      </c>
      <c r="H479" s="13" t="s">
        <v>1587</v>
      </c>
      <c r="I479" s="11" t="s">
        <v>2786</v>
      </c>
      <c r="J479" s="11"/>
      <c r="K479" s="11"/>
      <c r="L479" s="11"/>
      <c r="M479" s="13" t="s">
        <v>2191</v>
      </c>
      <c r="N479" s="12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3" t="s">
        <v>2766</v>
      </c>
      <c r="AB479" s="13" t="s">
        <v>2626</v>
      </c>
      <c r="AC479" s="13" t="s">
        <v>2313</v>
      </c>
      <c r="AD479" s="13" t="s">
        <v>516</v>
      </c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</row>
    <row r="480" spans="1:40" ht="20.100000000000001" customHeight="1">
      <c r="A480" s="11">
        <v>479</v>
      </c>
      <c r="B480" s="12" t="s">
        <v>38</v>
      </c>
      <c r="C480" s="12" t="s">
        <v>38</v>
      </c>
      <c r="D480" s="13" t="s">
        <v>2312</v>
      </c>
      <c r="E480" s="11"/>
      <c r="F480" s="12"/>
      <c r="G480" s="13" t="str">
        <f>"9781622750085"</f>
        <v>9781622750085</v>
      </c>
      <c r="H480" s="13" t="s">
        <v>1588</v>
      </c>
      <c r="I480" s="11" t="s">
        <v>2786</v>
      </c>
      <c r="J480" s="11"/>
      <c r="K480" s="11"/>
      <c r="L480" s="11"/>
      <c r="M480" s="13" t="s">
        <v>2191</v>
      </c>
      <c r="N480" s="12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3" t="s">
        <v>2766</v>
      </c>
      <c r="AB480" s="13" t="s">
        <v>2627</v>
      </c>
      <c r="AC480" s="13" t="s">
        <v>2313</v>
      </c>
      <c r="AD480" s="13" t="s">
        <v>517</v>
      </c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</row>
    <row r="481" spans="1:40" ht="20.100000000000001" customHeight="1">
      <c r="A481" s="11">
        <v>480</v>
      </c>
      <c r="B481" s="12" t="s">
        <v>38</v>
      </c>
      <c r="C481" s="12" t="s">
        <v>38</v>
      </c>
      <c r="D481" s="13" t="s">
        <v>2312</v>
      </c>
      <c r="E481" s="11"/>
      <c r="F481" s="12"/>
      <c r="G481" s="13" t="str">
        <f>"9781622750153"</f>
        <v>9781622750153</v>
      </c>
      <c r="H481" s="13" t="s">
        <v>1589</v>
      </c>
      <c r="I481" s="11" t="s">
        <v>2786</v>
      </c>
      <c r="J481" s="11"/>
      <c r="K481" s="11"/>
      <c r="L481" s="11"/>
      <c r="M481" s="13" t="s">
        <v>2191</v>
      </c>
      <c r="N481" s="12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3" t="s">
        <v>2766</v>
      </c>
      <c r="AB481" s="13" t="s">
        <v>2628</v>
      </c>
      <c r="AC481" s="13" t="s">
        <v>2313</v>
      </c>
      <c r="AD481" s="13" t="s">
        <v>518</v>
      </c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</row>
    <row r="482" spans="1:40" ht="20.100000000000001" customHeight="1">
      <c r="A482" s="11">
        <v>481</v>
      </c>
      <c r="B482" s="12" t="s">
        <v>38</v>
      </c>
      <c r="C482" s="12" t="s">
        <v>38</v>
      </c>
      <c r="D482" s="13" t="s">
        <v>2312</v>
      </c>
      <c r="E482" s="11"/>
      <c r="F482" s="12"/>
      <c r="G482" s="13" t="str">
        <f>"9781622750252"</f>
        <v>9781622750252</v>
      </c>
      <c r="H482" s="13" t="s">
        <v>1590</v>
      </c>
      <c r="I482" s="11" t="s">
        <v>2786</v>
      </c>
      <c r="J482" s="11"/>
      <c r="K482" s="11"/>
      <c r="L482" s="11"/>
      <c r="M482" s="13" t="s">
        <v>2191</v>
      </c>
      <c r="N482" s="12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3" t="s">
        <v>2766</v>
      </c>
      <c r="AB482" s="13" t="s">
        <v>2629</v>
      </c>
      <c r="AC482" s="13" t="s">
        <v>2382</v>
      </c>
      <c r="AD482" s="13" t="s">
        <v>519</v>
      </c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</row>
    <row r="483" spans="1:40" ht="20.100000000000001" customHeight="1">
      <c r="A483" s="11">
        <v>482</v>
      </c>
      <c r="B483" s="12" t="s">
        <v>38</v>
      </c>
      <c r="C483" s="12" t="s">
        <v>38</v>
      </c>
      <c r="D483" s="13" t="s">
        <v>2312</v>
      </c>
      <c r="E483" s="11"/>
      <c r="F483" s="12"/>
      <c r="G483" s="13" t="str">
        <f>"9780199898114"</f>
        <v>9780199898114</v>
      </c>
      <c r="H483" s="13" t="s">
        <v>1591</v>
      </c>
      <c r="I483" s="11" t="s">
        <v>2786</v>
      </c>
      <c r="J483" s="11"/>
      <c r="K483" s="11"/>
      <c r="L483" s="11"/>
      <c r="M483" s="13" t="s">
        <v>2188</v>
      </c>
      <c r="N483" s="12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3" t="s">
        <v>2766</v>
      </c>
      <c r="AB483" s="13">
        <v>614.4</v>
      </c>
      <c r="AC483" s="13" t="s">
        <v>2366</v>
      </c>
      <c r="AD483" s="13" t="s">
        <v>520</v>
      </c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</row>
    <row r="484" spans="1:40" ht="20.100000000000001" customHeight="1">
      <c r="A484" s="11">
        <v>483</v>
      </c>
      <c r="B484" s="12" t="s">
        <v>38</v>
      </c>
      <c r="C484" s="12" t="s">
        <v>38</v>
      </c>
      <c r="D484" s="13" t="s">
        <v>2312</v>
      </c>
      <c r="E484" s="11"/>
      <c r="F484" s="12"/>
      <c r="G484" s="13" t="str">
        <f>"9781479878253"</f>
        <v>9781479878253</v>
      </c>
      <c r="H484" s="13" t="s">
        <v>1592</v>
      </c>
      <c r="I484" s="11" t="s">
        <v>2786</v>
      </c>
      <c r="J484" s="11"/>
      <c r="K484" s="11"/>
      <c r="L484" s="11"/>
      <c r="M484" s="13" t="s">
        <v>2195</v>
      </c>
      <c r="N484" s="12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3" t="s">
        <v>2766</v>
      </c>
      <c r="AB484" s="13">
        <v>973.04924000000005</v>
      </c>
      <c r="AC484" s="13" t="s">
        <v>2317</v>
      </c>
      <c r="AD484" s="13" t="s">
        <v>521</v>
      </c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</row>
    <row r="485" spans="1:40" ht="20.100000000000001" customHeight="1">
      <c r="A485" s="11">
        <v>484</v>
      </c>
      <c r="B485" s="12" t="s">
        <v>38</v>
      </c>
      <c r="C485" s="12" t="s">
        <v>38</v>
      </c>
      <c r="D485" s="13" t="s">
        <v>2312</v>
      </c>
      <c r="E485" s="11"/>
      <c r="F485" s="12"/>
      <c r="G485" s="13" t="str">
        <f>"9781476602981"</f>
        <v>9781476602981</v>
      </c>
      <c r="H485" s="13" t="s">
        <v>1593</v>
      </c>
      <c r="I485" s="11" t="s">
        <v>2786</v>
      </c>
      <c r="J485" s="11"/>
      <c r="K485" s="11"/>
      <c r="L485" s="11"/>
      <c r="M485" s="13" t="s">
        <v>2187</v>
      </c>
      <c r="N485" s="12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3" t="s">
        <v>2766</v>
      </c>
      <c r="AB485" s="13">
        <v>951.05092200000001</v>
      </c>
      <c r="AC485" s="13" t="s">
        <v>2317</v>
      </c>
      <c r="AD485" s="13" t="s">
        <v>522</v>
      </c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</row>
    <row r="486" spans="1:40" ht="20.100000000000001" customHeight="1">
      <c r="A486" s="11">
        <v>485</v>
      </c>
      <c r="B486" s="12" t="s">
        <v>38</v>
      </c>
      <c r="C486" s="12" t="s">
        <v>38</v>
      </c>
      <c r="D486" s="13" t="s">
        <v>2312</v>
      </c>
      <c r="E486" s="11"/>
      <c r="F486" s="12"/>
      <c r="G486" s="13" t="str">
        <f>"9781107316829"</f>
        <v>9781107316829</v>
      </c>
      <c r="H486" s="13" t="s">
        <v>1594</v>
      </c>
      <c r="I486" s="11" t="s">
        <v>2780</v>
      </c>
      <c r="J486" s="11"/>
      <c r="K486" s="11"/>
      <c r="L486" s="11"/>
      <c r="M486" s="13" t="s">
        <v>2177</v>
      </c>
      <c r="N486" s="12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3" t="s">
        <v>2766</v>
      </c>
      <c r="AB486" s="13" t="s">
        <v>2630</v>
      </c>
      <c r="AC486" s="13" t="s">
        <v>2427</v>
      </c>
      <c r="AD486" s="13" t="s">
        <v>523</v>
      </c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</row>
    <row r="487" spans="1:40" ht="20.100000000000001" customHeight="1">
      <c r="A487" s="11">
        <v>486</v>
      </c>
      <c r="B487" s="12" t="s">
        <v>38</v>
      </c>
      <c r="C487" s="12" t="s">
        <v>38</v>
      </c>
      <c r="D487" s="13" t="s">
        <v>2312</v>
      </c>
      <c r="E487" s="11"/>
      <c r="F487" s="12"/>
      <c r="G487" s="13" t="str">
        <f>"9781118593967"</f>
        <v>9781118593967</v>
      </c>
      <c r="H487" s="13" t="s">
        <v>1595</v>
      </c>
      <c r="I487" s="11" t="s">
        <v>2786</v>
      </c>
      <c r="J487" s="11"/>
      <c r="K487" s="11"/>
      <c r="L487" s="11"/>
      <c r="M487" s="13" t="s">
        <v>2176</v>
      </c>
      <c r="N487" s="12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3" t="s">
        <v>2766</v>
      </c>
      <c r="AB487" s="13">
        <v>306.44</v>
      </c>
      <c r="AC487" s="13" t="s">
        <v>2384</v>
      </c>
      <c r="AD487" s="13" t="s">
        <v>524</v>
      </c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</row>
    <row r="488" spans="1:40" ht="20.100000000000001" customHeight="1">
      <c r="A488" s="11">
        <v>487</v>
      </c>
      <c r="B488" s="12" t="s">
        <v>38</v>
      </c>
      <c r="C488" s="12" t="s">
        <v>38</v>
      </c>
      <c r="D488" s="13" t="s">
        <v>2312</v>
      </c>
      <c r="E488" s="11"/>
      <c r="F488" s="12"/>
      <c r="G488" s="13" t="str">
        <f>"9780230367463"</f>
        <v>9780230367463</v>
      </c>
      <c r="H488" s="13" t="s">
        <v>1596</v>
      </c>
      <c r="I488" s="11" t="s">
        <v>2785</v>
      </c>
      <c r="J488" s="11"/>
      <c r="K488" s="11"/>
      <c r="L488" s="11"/>
      <c r="M488" s="13" t="s">
        <v>2179</v>
      </c>
      <c r="N488" s="12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3" t="s">
        <v>2766</v>
      </c>
      <c r="AB488" s="13">
        <v>796.48</v>
      </c>
      <c r="AC488" s="13" t="s">
        <v>2338</v>
      </c>
      <c r="AD488" s="13" t="s">
        <v>525</v>
      </c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</row>
    <row r="489" spans="1:40" ht="20.100000000000001" customHeight="1">
      <c r="A489" s="11">
        <v>488</v>
      </c>
      <c r="B489" s="12" t="s">
        <v>38</v>
      </c>
      <c r="C489" s="12" t="s">
        <v>38</v>
      </c>
      <c r="D489" s="13" t="s">
        <v>2312</v>
      </c>
      <c r="E489" s="11"/>
      <c r="F489" s="12"/>
      <c r="G489" s="13" t="str">
        <f>"9780199322404"</f>
        <v>9780199322404</v>
      </c>
      <c r="H489" s="13" t="s">
        <v>1597</v>
      </c>
      <c r="I489" s="11" t="s">
        <v>2786</v>
      </c>
      <c r="J489" s="11"/>
      <c r="K489" s="11"/>
      <c r="L489" s="11"/>
      <c r="M489" s="13" t="s">
        <v>2188</v>
      </c>
      <c r="N489" s="12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3" t="s">
        <v>2766</v>
      </c>
      <c r="AB489" s="13">
        <v>338.19</v>
      </c>
      <c r="AC489" s="13" t="s">
        <v>2405</v>
      </c>
      <c r="AD489" s="13" t="s">
        <v>526</v>
      </c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</row>
    <row r="490" spans="1:40" ht="20.100000000000001" customHeight="1">
      <c r="A490" s="11">
        <v>489</v>
      </c>
      <c r="B490" s="12" t="s">
        <v>38</v>
      </c>
      <c r="C490" s="12" t="s">
        <v>38</v>
      </c>
      <c r="D490" s="13" t="s">
        <v>2312</v>
      </c>
      <c r="E490" s="11"/>
      <c r="F490" s="12"/>
      <c r="G490" s="13" t="str">
        <f>"9780814760352"</f>
        <v>9780814760352</v>
      </c>
      <c r="H490" s="13" t="s">
        <v>1598</v>
      </c>
      <c r="I490" s="11" t="s">
        <v>2786</v>
      </c>
      <c r="J490" s="11"/>
      <c r="K490" s="11"/>
      <c r="L490" s="11"/>
      <c r="M490" s="13" t="s">
        <v>2195</v>
      </c>
      <c r="N490" s="12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3" t="s">
        <v>2766</v>
      </c>
      <c r="AB490" s="13">
        <v>973.2</v>
      </c>
      <c r="AC490" s="13" t="s">
        <v>2317</v>
      </c>
      <c r="AD490" s="13" t="s">
        <v>527</v>
      </c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</row>
    <row r="491" spans="1:40" ht="20.100000000000001" customHeight="1">
      <c r="A491" s="11">
        <v>490</v>
      </c>
      <c r="B491" s="12" t="s">
        <v>38</v>
      </c>
      <c r="C491" s="12" t="s">
        <v>38</v>
      </c>
      <c r="D491" s="13" t="s">
        <v>2312</v>
      </c>
      <c r="E491" s="11"/>
      <c r="F491" s="12"/>
      <c r="G491" s="13" t="str">
        <f>"9781400848058"</f>
        <v>9781400848058</v>
      </c>
      <c r="H491" s="13" t="s">
        <v>1599</v>
      </c>
      <c r="I491" s="11" t="s">
        <v>2786</v>
      </c>
      <c r="J491" s="11"/>
      <c r="K491" s="11"/>
      <c r="L491" s="11"/>
      <c r="M491" s="13" t="s">
        <v>2205</v>
      </c>
      <c r="N491" s="12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3" t="s">
        <v>2766</v>
      </c>
      <c r="AB491" s="13"/>
      <c r="AC491" s="13" t="s">
        <v>2323</v>
      </c>
      <c r="AD491" s="13" t="s">
        <v>528</v>
      </c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</row>
    <row r="492" spans="1:40" ht="20.100000000000001" customHeight="1">
      <c r="A492" s="11">
        <v>491</v>
      </c>
      <c r="B492" s="12" t="s">
        <v>38</v>
      </c>
      <c r="C492" s="12" t="s">
        <v>38</v>
      </c>
      <c r="D492" s="13" t="s">
        <v>2312</v>
      </c>
      <c r="E492" s="11"/>
      <c r="F492" s="12"/>
      <c r="G492" s="13" t="str">
        <f>"9781107316850"</f>
        <v>9781107316850</v>
      </c>
      <c r="H492" s="13" t="s">
        <v>1600</v>
      </c>
      <c r="I492" s="11" t="s">
        <v>2778</v>
      </c>
      <c r="J492" s="11"/>
      <c r="K492" s="11"/>
      <c r="L492" s="11"/>
      <c r="M492" s="13" t="s">
        <v>2177</v>
      </c>
      <c r="N492" s="12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3" t="s">
        <v>2766</v>
      </c>
      <c r="AB492" s="13" t="s">
        <v>2631</v>
      </c>
      <c r="AC492" s="13" t="s">
        <v>2328</v>
      </c>
      <c r="AD492" s="13" t="s">
        <v>529</v>
      </c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</row>
    <row r="493" spans="1:40" ht="20.100000000000001" customHeight="1">
      <c r="A493" s="11">
        <v>492</v>
      </c>
      <c r="B493" s="12" t="s">
        <v>38</v>
      </c>
      <c r="C493" s="12" t="s">
        <v>38</v>
      </c>
      <c r="D493" s="13" t="s">
        <v>2312</v>
      </c>
      <c r="E493" s="11"/>
      <c r="F493" s="12"/>
      <c r="G493" s="13" t="str">
        <f>"9781742246291"</f>
        <v>9781742246291</v>
      </c>
      <c r="H493" s="13" t="s">
        <v>1601</v>
      </c>
      <c r="I493" s="11" t="s">
        <v>2786</v>
      </c>
      <c r="J493" s="11"/>
      <c r="K493" s="11"/>
      <c r="L493" s="11"/>
      <c r="M493" s="13" t="s">
        <v>2206</v>
      </c>
      <c r="N493" s="12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3" t="s">
        <v>2766</v>
      </c>
      <c r="AB493" s="13">
        <v>423.1</v>
      </c>
      <c r="AC493" s="13" t="s">
        <v>2428</v>
      </c>
      <c r="AD493" s="13" t="s">
        <v>530</v>
      </c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</row>
    <row r="494" spans="1:40" ht="20.100000000000001" customHeight="1">
      <c r="A494" s="11">
        <v>493</v>
      </c>
      <c r="B494" s="12" t="s">
        <v>38</v>
      </c>
      <c r="C494" s="12" t="s">
        <v>38</v>
      </c>
      <c r="D494" s="13" t="s">
        <v>2312</v>
      </c>
      <c r="E494" s="11"/>
      <c r="F494" s="12"/>
      <c r="G494" s="13" t="str">
        <f>"9781476612423"</f>
        <v>9781476612423</v>
      </c>
      <c r="H494" s="13" t="s">
        <v>1602</v>
      </c>
      <c r="I494" s="11" t="s">
        <v>2786</v>
      </c>
      <c r="J494" s="11"/>
      <c r="K494" s="11"/>
      <c r="L494" s="11"/>
      <c r="M494" s="13" t="s">
        <v>2187</v>
      </c>
      <c r="N494" s="12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3" t="s">
        <v>2766</v>
      </c>
      <c r="AB494" s="13">
        <v>398.21</v>
      </c>
      <c r="AC494" s="13" t="s">
        <v>2429</v>
      </c>
      <c r="AD494" s="13" t="s">
        <v>531</v>
      </c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</row>
    <row r="495" spans="1:40" ht="20.100000000000001" customHeight="1">
      <c r="A495" s="11">
        <v>494</v>
      </c>
      <c r="B495" s="12" t="s">
        <v>38</v>
      </c>
      <c r="C495" s="12" t="s">
        <v>38</v>
      </c>
      <c r="D495" s="13" t="s">
        <v>2312</v>
      </c>
      <c r="E495" s="11"/>
      <c r="F495" s="12"/>
      <c r="G495" s="13" t="str">
        <f>"9781479844470"</f>
        <v>9781479844470</v>
      </c>
      <c r="H495" s="13" t="s">
        <v>1603</v>
      </c>
      <c r="I495" s="11" t="s">
        <v>2786</v>
      </c>
      <c r="J495" s="11"/>
      <c r="K495" s="11"/>
      <c r="L495" s="11"/>
      <c r="M495" s="13" t="s">
        <v>2195</v>
      </c>
      <c r="N495" s="12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3" t="s">
        <v>2766</v>
      </c>
      <c r="AB495" s="13" t="s">
        <v>2632</v>
      </c>
      <c r="AC495" s="13" t="s">
        <v>2317</v>
      </c>
      <c r="AD495" s="13" t="s">
        <v>532</v>
      </c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</row>
    <row r="496" spans="1:40" ht="20.100000000000001" customHeight="1">
      <c r="A496" s="11">
        <v>495</v>
      </c>
      <c r="B496" s="12" t="s">
        <v>38</v>
      </c>
      <c r="C496" s="12" t="s">
        <v>38</v>
      </c>
      <c r="D496" s="13" t="s">
        <v>2312</v>
      </c>
      <c r="E496" s="11"/>
      <c r="F496" s="12"/>
      <c r="G496" s="13" t="str">
        <f>"9783527649273"</f>
        <v>9783527649273</v>
      </c>
      <c r="H496" s="13" t="s">
        <v>1604</v>
      </c>
      <c r="I496" s="11" t="s">
        <v>2786</v>
      </c>
      <c r="J496" s="11"/>
      <c r="K496" s="11"/>
      <c r="L496" s="11"/>
      <c r="M496" s="13" t="s">
        <v>2176</v>
      </c>
      <c r="N496" s="12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3" t="s">
        <v>2766</v>
      </c>
      <c r="AB496" s="13">
        <v>539.70000000000005</v>
      </c>
      <c r="AC496" s="13" t="s">
        <v>2430</v>
      </c>
      <c r="AD496" s="13" t="s">
        <v>533</v>
      </c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</row>
    <row r="497" spans="1:40" ht="20.100000000000001" customHeight="1">
      <c r="A497" s="11">
        <v>496</v>
      </c>
      <c r="B497" s="12" t="s">
        <v>38</v>
      </c>
      <c r="C497" s="12" t="s">
        <v>38</v>
      </c>
      <c r="D497" s="13" t="s">
        <v>2312</v>
      </c>
      <c r="E497" s="11"/>
      <c r="F497" s="12"/>
      <c r="G497" s="13" t="str">
        <f>"9789401209366"</f>
        <v>9789401209366</v>
      </c>
      <c r="H497" s="13" t="s">
        <v>1605</v>
      </c>
      <c r="I497" s="11" t="s">
        <v>2786</v>
      </c>
      <c r="J497" s="11"/>
      <c r="K497" s="11"/>
      <c r="L497" s="11"/>
      <c r="M497" s="13" t="s">
        <v>2184</v>
      </c>
      <c r="N497" s="12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3" t="s">
        <v>2766</v>
      </c>
      <c r="AB497" s="13" t="s">
        <v>2633</v>
      </c>
      <c r="AC497" s="13" t="s">
        <v>2345</v>
      </c>
      <c r="AD497" s="13" t="s">
        <v>534</v>
      </c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</row>
    <row r="498" spans="1:40" ht="20.100000000000001" customHeight="1">
      <c r="A498" s="11">
        <v>497</v>
      </c>
      <c r="B498" s="12" t="s">
        <v>38</v>
      </c>
      <c r="C498" s="12" t="s">
        <v>38</v>
      </c>
      <c r="D498" s="13" t="s">
        <v>2312</v>
      </c>
      <c r="E498" s="11"/>
      <c r="F498" s="12"/>
      <c r="G498" s="13" t="str">
        <f>"9780253013774"</f>
        <v>9780253013774</v>
      </c>
      <c r="H498" s="13" t="s">
        <v>1606</v>
      </c>
      <c r="I498" s="11" t="s">
        <v>2777</v>
      </c>
      <c r="J498" s="11"/>
      <c r="K498" s="11"/>
      <c r="L498" s="11"/>
      <c r="M498" s="13" t="s">
        <v>2207</v>
      </c>
      <c r="N498" s="12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3" t="s">
        <v>2766</v>
      </c>
      <c r="AB498" s="13" t="s">
        <v>2634</v>
      </c>
      <c r="AC498" s="13" t="s">
        <v>2315</v>
      </c>
      <c r="AD498" s="13" t="s">
        <v>535</v>
      </c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</row>
    <row r="499" spans="1:40" ht="20.100000000000001" customHeight="1">
      <c r="A499" s="11">
        <v>498</v>
      </c>
      <c r="B499" s="12" t="s">
        <v>38</v>
      </c>
      <c r="C499" s="12" t="s">
        <v>38</v>
      </c>
      <c r="D499" s="13" t="s">
        <v>2312</v>
      </c>
      <c r="E499" s="11"/>
      <c r="F499" s="12"/>
      <c r="G499" s="13" t="str">
        <f>"9781479819713"</f>
        <v>9781479819713</v>
      </c>
      <c r="H499" s="13" t="s">
        <v>1607</v>
      </c>
      <c r="I499" s="11" t="s">
        <v>2786</v>
      </c>
      <c r="J499" s="11"/>
      <c r="K499" s="11"/>
      <c r="L499" s="11"/>
      <c r="M499" s="13" t="s">
        <v>2195</v>
      </c>
      <c r="N499" s="12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3" t="s">
        <v>2766</v>
      </c>
      <c r="AB499" s="13">
        <v>296.4350973</v>
      </c>
      <c r="AC499" s="13" t="s">
        <v>2323</v>
      </c>
      <c r="AD499" s="13" t="s">
        <v>536</v>
      </c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</row>
    <row r="500" spans="1:40" ht="20.100000000000001" customHeight="1">
      <c r="A500" s="11">
        <v>499</v>
      </c>
      <c r="B500" s="12" t="s">
        <v>38</v>
      </c>
      <c r="C500" s="12" t="s">
        <v>38</v>
      </c>
      <c r="D500" s="13" t="s">
        <v>2312</v>
      </c>
      <c r="E500" s="11"/>
      <c r="F500" s="12"/>
      <c r="G500" s="13" t="str">
        <f>"9780199311279"</f>
        <v>9780199311279</v>
      </c>
      <c r="H500" s="13" t="s">
        <v>1608</v>
      </c>
      <c r="I500" s="11" t="s">
        <v>2786</v>
      </c>
      <c r="J500" s="11"/>
      <c r="K500" s="11"/>
      <c r="L500" s="11"/>
      <c r="M500" s="13" t="s">
        <v>2188</v>
      </c>
      <c r="N500" s="12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3" t="s">
        <v>2766</v>
      </c>
      <c r="AB500" s="13">
        <v>622.33849999999995</v>
      </c>
      <c r="AC500" s="13" t="s">
        <v>2431</v>
      </c>
      <c r="AD500" s="13" t="s">
        <v>537</v>
      </c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</row>
    <row r="501" spans="1:40" ht="20.100000000000001" customHeight="1">
      <c r="A501" s="11">
        <v>500</v>
      </c>
      <c r="B501" s="12" t="s">
        <v>38</v>
      </c>
      <c r="C501" s="12" t="s">
        <v>38</v>
      </c>
      <c r="D501" s="13" t="s">
        <v>2312</v>
      </c>
      <c r="E501" s="11"/>
      <c r="F501" s="12"/>
      <c r="G501" s="13" t="str">
        <f>"9780838996553"</f>
        <v>9780838996553</v>
      </c>
      <c r="H501" s="13" t="s">
        <v>1609</v>
      </c>
      <c r="I501" s="11" t="s">
        <v>2786</v>
      </c>
      <c r="J501" s="11"/>
      <c r="K501" s="11"/>
      <c r="L501" s="11"/>
      <c r="M501" s="13" t="s">
        <v>2208</v>
      </c>
      <c r="N501" s="12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3" t="s">
        <v>2766</v>
      </c>
      <c r="AB501" s="13">
        <v>20.3</v>
      </c>
      <c r="AC501" s="13" t="s">
        <v>2432</v>
      </c>
      <c r="AD501" s="13" t="s">
        <v>538</v>
      </c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</row>
    <row r="502" spans="1:40" ht="20.100000000000001" customHeight="1">
      <c r="A502" s="11">
        <v>501</v>
      </c>
      <c r="B502" s="12" t="s">
        <v>38</v>
      </c>
      <c r="C502" s="12" t="s">
        <v>38</v>
      </c>
      <c r="D502" s="13" t="s">
        <v>2312</v>
      </c>
      <c r="E502" s="11"/>
      <c r="F502" s="12"/>
      <c r="G502" s="13" t="str">
        <f>"9780191546983"</f>
        <v>9780191546983</v>
      </c>
      <c r="H502" s="13" t="s">
        <v>1610</v>
      </c>
      <c r="I502" s="11" t="s">
        <v>2783</v>
      </c>
      <c r="J502" s="11"/>
      <c r="K502" s="11"/>
      <c r="L502" s="11"/>
      <c r="M502" s="13" t="s">
        <v>2188</v>
      </c>
      <c r="N502" s="12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3" t="s">
        <v>2766</v>
      </c>
      <c r="AB502" s="13">
        <v>598</v>
      </c>
      <c r="AC502" s="13" t="s">
        <v>2316</v>
      </c>
      <c r="AD502" s="13" t="s">
        <v>539</v>
      </c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</row>
    <row r="503" spans="1:40" ht="20.100000000000001" customHeight="1">
      <c r="A503" s="11">
        <v>502</v>
      </c>
      <c r="B503" s="12" t="s">
        <v>38</v>
      </c>
      <c r="C503" s="12" t="s">
        <v>38</v>
      </c>
      <c r="D503" s="13" t="s">
        <v>2312</v>
      </c>
      <c r="E503" s="11"/>
      <c r="F503" s="12"/>
      <c r="G503" s="13" t="str">
        <f>"9780199918102"</f>
        <v>9780199918102</v>
      </c>
      <c r="H503" s="13" t="s">
        <v>1611</v>
      </c>
      <c r="I503" s="11" t="s">
        <v>2788</v>
      </c>
      <c r="J503" s="11"/>
      <c r="K503" s="11"/>
      <c r="L503" s="11"/>
      <c r="M503" s="13" t="s">
        <v>2188</v>
      </c>
      <c r="N503" s="12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3" t="s">
        <v>2766</v>
      </c>
      <c r="AB503" s="13">
        <v>5.8</v>
      </c>
      <c r="AC503" s="13" t="s">
        <v>2369</v>
      </c>
      <c r="AD503" s="13" t="s">
        <v>540</v>
      </c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</row>
    <row r="504" spans="1:40" ht="20.100000000000001" customHeight="1">
      <c r="A504" s="11">
        <v>503</v>
      </c>
      <c r="B504" s="12" t="s">
        <v>38</v>
      </c>
      <c r="C504" s="12" t="s">
        <v>38</v>
      </c>
      <c r="D504" s="13" t="s">
        <v>2312</v>
      </c>
      <c r="E504" s="11"/>
      <c r="F504" s="12"/>
      <c r="G504" s="13" t="str">
        <f>"9789004217621"</f>
        <v>9789004217621</v>
      </c>
      <c r="H504" s="13" t="s">
        <v>1612</v>
      </c>
      <c r="I504" s="11" t="s">
        <v>2785</v>
      </c>
      <c r="J504" s="11"/>
      <c r="K504" s="11"/>
      <c r="L504" s="11"/>
      <c r="M504" s="13" t="s">
        <v>2184</v>
      </c>
      <c r="N504" s="12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3" t="s">
        <v>2766</v>
      </c>
      <c r="AB504" s="13" t="s">
        <v>2635</v>
      </c>
      <c r="AC504" s="13" t="s">
        <v>2313</v>
      </c>
      <c r="AD504" s="13" t="s">
        <v>541</v>
      </c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</row>
    <row r="505" spans="1:40" ht="20.100000000000001" customHeight="1">
      <c r="A505" s="11">
        <v>504</v>
      </c>
      <c r="B505" s="12" t="s">
        <v>38</v>
      </c>
      <c r="C505" s="12" t="s">
        <v>38</v>
      </c>
      <c r="D505" s="13" t="s">
        <v>2312</v>
      </c>
      <c r="E505" s="11"/>
      <c r="F505" s="12"/>
      <c r="G505" s="13" t="str">
        <f>"9780814724491"</f>
        <v>9780814724491</v>
      </c>
      <c r="H505" s="13" t="s">
        <v>1613</v>
      </c>
      <c r="I505" s="11" t="s">
        <v>2788</v>
      </c>
      <c r="J505" s="11"/>
      <c r="K505" s="11"/>
      <c r="L505" s="11"/>
      <c r="M505" s="13" t="s">
        <v>2195</v>
      </c>
      <c r="N505" s="12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3" t="s">
        <v>2766</v>
      </c>
      <c r="AB505" s="13">
        <v>305.80097499999999</v>
      </c>
      <c r="AC505" s="13" t="s">
        <v>2330</v>
      </c>
      <c r="AD505" s="13" t="s">
        <v>542</v>
      </c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</row>
    <row r="506" spans="1:40" ht="20.100000000000001" customHeight="1">
      <c r="A506" s="11">
        <v>505</v>
      </c>
      <c r="B506" s="12" t="s">
        <v>38</v>
      </c>
      <c r="C506" s="12" t="s">
        <v>38</v>
      </c>
      <c r="D506" s="13" t="s">
        <v>2312</v>
      </c>
      <c r="E506" s="11"/>
      <c r="F506" s="12"/>
      <c r="G506" s="13" t="str">
        <f>"9780191029585"</f>
        <v>9780191029585</v>
      </c>
      <c r="H506" s="13" t="s">
        <v>1614</v>
      </c>
      <c r="I506" s="11" t="s">
        <v>2784</v>
      </c>
      <c r="J506" s="11"/>
      <c r="K506" s="11"/>
      <c r="L506" s="11"/>
      <c r="M506" s="13" t="s">
        <v>2188</v>
      </c>
      <c r="N506" s="12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3" t="s">
        <v>2766</v>
      </c>
      <c r="AB506" s="13">
        <v>342.06</v>
      </c>
      <c r="AC506" s="13" t="s">
        <v>2334</v>
      </c>
      <c r="AD506" s="13" t="s">
        <v>543</v>
      </c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</row>
    <row r="507" spans="1:40" ht="20.100000000000001" customHeight="1">
      <c r="A507" s="11">
        <v>506</v>
      </c>
      <c r="B507" s="12" t="s">
        <v>38</v>
      </c>
      <c r="C507" s="12" t="s">
        <v>38</v>
      </c>
      <c r="D507" s="13" t="s">
        <v>2312</v>
      </c>
      <c r="E507" s="11"/>
      <c r="F507" s="12"/>
      <c r="G507" s="13" t="str">
        <f>"9781608077205"</f>
        <v>9781608077205</v>
      </c>
      <c r="H507" s="13" t="s">
        <v>1615</v>
      </c>
      <c r="I507" s="11" t="s">
        <v>2786</v>
      </c>
      <c r="J507" s="11"/>
      <c r="K507" s="11"/>
      <c r="L507" s="11"/>
      <c r="M507" s="13" t="s">
        <v>2209</v>
      </c>
      <c r="N507" s="12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3" t="s">
        <v>2766</v>
      </c>
      <c r="AB507" s="13">
        <v>621.31700000000001</v>
      </c>
      <c r="AC507" s="13" t="s">
        <v>2433</v>
      </c>
      <c r="AD507" s="13" t="s">
        <v>544</v>
      </c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</row>
    <row r="508" spans="1:40" ht="20.100000000000001" customHeight="1">
      <c r="A508" s="11">
        <v>507</v>
      </c>
      <c r="B508" s="12" t="s">
        <v>38</v>
      </c>
      <c r="C508" s="12" t="s">
        <v>38</v>
      </c>
      <c r="D508" s="13" t="s">
        <v>2312</v>
      </c>
      <c r="E508" s="11"/>
      <c r="F508" s="12"/>
      <c r="G508" s="13" t="str">
        <f>"9789004260580"</f>
        <v>9789004260580</v>
      </c>
      <c r="H508" s="13" t="s">
        <v>1616</v>
      </c>
      <c r="I508" s="11" t="s">
        <v>2786</v>
      </c>
      <c r="J508" s="11"/>
      <c r="K508" s="11"/>
      <c r="L508" s="11"/>
      <c r="M508" s="13" t="s">
        <v>2184</v>
      </c>
      <c r="N508" s="12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3" t="s">
        <v>2766</v>
      </c>
      <c r="AB508" s="13">
        <v>495.93</v>
      </c>
      <c r="AC508" s="13" t="s">
        <v>2345</v>
      </c>
      <c r="AD508" s="13" t="s">
        <v>545</v>
      </c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</row>
    <row r="509" spans="1:40" ht="20.100000000000001" customHeight="1">
      <c r="A509" s="11">
        <v>508</v>
      </c>
      <c r="B509" s="12" t="s">
        <v>38</v>
      </c>
      <c r="C509" s="12" t="s">
        <v>38</v>
      </c>
      <c r="D509" s="13" t="s">
        <v>2312</v>
      </c>
      <c r="E509" s="11"/>
      <c r="F509" s="12"/>
      <c r="G509" s="13" t="str">
        <f>"9781118791394"</f>
        <v>9781118791394</v>
      </c>
      <c r="H509" s="13" t="s">
        <v>1617</v>
      </c>
      <c r="I509" s="11" t="s">
        <v>2788</v>
      </c>
      <c r="J509" s="11"/>
      <c r="K509" s="11"/>
      <c r="L509" s="11"/>
      <c r="M509" s="13" t="s">
        <v>2176</v>
      </c>
      <c r="N509" s="12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3" t="s">
        <v>2766</v>
      </c>
      <c r="AB509" s="13" t="s">
        <v>2636</v>
      </c>
      <c r="AC509" s="13" t="s">
        <v>2349</v>
      </c>
      <c r="AD509" s="13" t="s">
        <v>546</v>
      </c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</row>
    <row r="510" spans="1:40" ht="20.100000000000001" customHeight="1">
      <c r="A510" s="11">
        <v>509</v>
      </c>
      <c r="B510" s="12" t="s">
        <v>38</v>
      </c>
      <c r="C510" s="12" t="s">
        <v>38</v>
      </c>
      <c r="D510" s="13" t="s">
        <v>2312</v>
      </c>
      <c r="E510" s="11"/>
      <c r="F510" s="12"/>
      <c r="G510" s="13" t="str">
        <f>"9780814764824"</f>
        <v>9780814764824</v>
      </c>
      <c r="H510" s="13" t="s">
        <v>1618</v>
      </c>
      <c r="I510" s="11" t="s">
        <v>2788</v>
      </c>
      <c r="J510" s="11"/>
      <c r="K510" s="11"/>
      <c r="L510" s="11"/>
      <c r="M510" s="13" t="s">
        <v>2195</v>
      </c>
      <c r="N510" s="12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3" t="s">
        <v>2766</v>
      </c>
      <c r="AB510" s="13">
        <v>617.9</v>
      </c>
      <c r="AC510" s="13" t="s">
        <v>2328</v>
      </c>
      <c r="AD510" s="13" t="s">
        <v>547</v>
      </c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</row>
    <row r="511" spans="1:40" ht="20.100000000000001" customHeight="1">
      <c r="A511" s="11">
        <v>510</v>
      </c>
      <c r="B511" s="12" t="s">
        <v>38</v>
      </c>
      <c r="C511" s="12" t="s">
        <v>38</v>
      </c>
      <c r="D511" s="13" t="s">
        <v>2312</v>
      </c>
      <c r="E511" s="11"/>
      <c r="F511" s="12"/>
      <c r="G511" s="13" t="str">
        <f>"9780191002694"</f>
        <v>9780191002694</v>
      </c>
      <c r="H511" s="13" t="s">
        <v>1619</v>
      </c>
      <c r="I511" s="11" t="s">
        <v>2788</v>
      </c>
      <c r="J511" s="11"/>
      <c r="K511" s="11"/>
      <c r="L511" s="11"/>
      <c r="M511" s="13" t="s">
        <v>2188</v>
      </c>
      <c r="N511" s="12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3" t="s">
        <v>2766</v>
      </c>
      <c r="AB511" s="13">
        <v>660.03</v>
      </c>
      <c r="AC511" s="13" t="s">
        <v>2396</v>
      </c>
      <c r="AD511" s="13" t="s">
        <v>548</v>
      </c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</row>
    <row r="512" spans="1:40" ht="20.100000000000001" customHeight="1">
      <c r="A512" s="11">
        <v>511</v>
      </c>
      <c r="B512" s="12" t="s">
        <v>38</v>
      </c>
      <c r="C512" s="12" t="s">
        <v>38</v>
      </c>
      <c r="D512" s="13" t="s">
        <v>2312</v>
      </c>
      <c r="E512" s="11"/>
      <c r="F512" s="12"/>
      <c r="G512" s="13" t="str">
        <f>"9780199715398"</f>
        <v>9780199715398</v>
      </c>
      <c r="H512" s="13" t="s">
        <v>1620</v>
      </c>
      <c r="I512" s="11" t="s">
        <v>2784</v>
      </c>
      <c r="J512" s="11"/>
      <c r="K512" s="11"/>
      <c r="L512" s="11"/>
      <c r="M512" s="13" t="s">
        <v>2188</v>
      </c>
      <c r="N512" s="12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3" t="s">
        <v>2766</v>
      </c>
      <c r="AB512" s="13" t="s">
        <v>2549</v>
      </c>
      <c r="AC512" s="13" t="s">
        <v>2434</v>
      </c>
      <c r="AD512" s="13" t="s">
        <v>549</v>
      </c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</row>
    <row r="513" spans="1:40" ht="20.100000000000001" customHeight="1">
      <c r="A513" s="11">
        <v>512</v>
      </c>
      <c r="B513" s="12" t="s">
        <v>38</v>
      </c>
      <c r="C513" s="12" t="s">
        <v>38</v>
      </c>
      <c r="D513" s="13" t="s">
        <v>2312</v>
      </c>
      <c r="E513" s="11"/>
      <c r="F513" s="12"/>
      <c r="G513" s="13" t="str">
        <f>"9780199878215"</f>
        <v>9780199878215</v>
      </c>
      <c r="H513" s="13" t="s">
        <v>1621</v>
      </c>
      <c r="I513" s="11" t="s">
        <v>2784</v>
      </c>
      <c r="J513" s="11"/>
      <c r="K513" s="11"/>
      <c r="L513" s="11"/>
      <c r="M513" s="13" t="s">
        <v>2188</v>
      </c>
      <c r="N513" s="12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3" t="s">
        <v>2766</v>
      </c>
      <c r="AB513" s="13" t="s">
        <v>2637</v>
      </c>
      <c r="AC513" s="13" t="s">
        <v>2334</v>
      </c>
      <c r="AD513" s="13" t="s">
        <v>550</v>
      </c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</row>
    <row r="514" spans="1:40" ht="20.100000000000001" customHeight="1">
      <c r="A514" s="11">
        <v>513</v>
      </c>
      <c r="B514" s="12" t="s">
        <v>38</v>
      </c>
      <c r="C514" s="12" t="s">
        <v>38</v>
      </c>
      <c r="D514" s="13" t="s">
        <v>2312</v>
      </c>
      <c r="E514" s="11"/>
      <c r="F514" s="12"/>
      <c r="G514" s="13" t="str">
        <f>"9781781904244"</f>
        <v>9781781904244</v>
      </c>
      <c r="H514" s="13" t="s">
        <v>1622</v>
      </c>
      <c r="I514" s="11" t="s">
        <v>2786</v>
      </c>
      <c r="J514" s="11"/>
      <c r="K514" s="11"/>
      <c r="L514" s="11"/>
      <c r="M514" s="13" t="s">
        <v>2178</v>
      </c>
      <c r="N514" s="12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3" t="s">
        <v>2766</v>
      </c>
      <c r="AB514" s="13"/>
      <c r="AC514" s="13" t="s">
        <v>2349</v>
      </c>
      <c r="AD514" s="13" t="s">
        <v>551</v>
      </c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</row>
    <row r="515" spans="1:40" ht="20.100000000000001" customHeight="1">
      <c r="A515" s="11">
        <v>514</v>
      </c>
      <c r="B515" s="12" t="s">
        <v>38</v>
      </c>
      <c r="C515" s="12" t="s">
        <v>38</v>
      </c>
      <c r="D515" s="13" t="s">
        <v>2312</v>
      </c>
      <c r="E515" s="11"/>
      <c r="F515" s="12"/>
      <c r="G515" s="13" t="str">
        <f>"9780786455720"</f>
        <v>9780786455720</v>
      </c>
      <c r="H515" s="13" t="s">
        <v>1623</v>
      </c>
      <c r="I515" s="11" t="s">
        <v>2783</v>
      </c>
      <c r="J515" s="11"/>
      <c r="K515" s="11"/>
      <c r="L515" s="11"/>
      <c r="M515" s="13" t="s">
        <v>2187</v>
      </c>
      <c r="N515" s="12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3" t="s">
        <v>2766</v>
      </c>
      <c r="AB515" s="13" t="s">
        <v>2527</v>
      </c>
      <c r="AC515" s="13" t="s">
        <v>2313</v>
      </c>
      <c r="AD515" s="13" t="s">
        <v>552</v>
      </c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</row>
    <row r="516" spans="1:40" ht="20.100000000000001" customHeight="1">
      <c r="A516" s="11">
        <v>515</v>
      </c>
      <c r="B516" s="12" t="s">
        <v>38</v>
      </c>
      <c r="C516" s="12" t="s">
        <v>38</v>
      </c>
      <c r="D516" s="13" t="s">
        <v>2312</v>
      </c>
      <c r="E516" s="11"/>
      <c r="F516" s="12"/>
      <c r="G516" s="13" t="str">
        <f>"9780786454815"</f>
        <v>9780786454815</v>
      </c>
      <c r="H516" s="13" t="s">
        <v>1624</v>
      </c>
      <c r="I516" s="11" t="s">
        <v>2780</v>
      </c>
      <c r="J516" s="11"/>
      <c r="K516" s="11"/>
      <c r="L516" s="11"/>
      <c r="M516" s="13" t="s">
        <v>2187</v>
      </c>
      <c r="N516" s="12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3" t="s">
        <v>2766</v>
      </c>
      <c r="AB516" s="13">
        <v>910.3</v>
      </c>
      <c r="AC516" s="13" t="s">
        <v>2382</v>
      </c>
      <c r="AD516" s="13" t="s">
        <v>553</v>
      </c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</row>
    <row r="517" spans="1:40" ht="20.100000000000001" customHeight="1">
      <c r="A517" s="11">
        <v>516</v>
      </c>
      <c r="B517" s="12" t="s">
        <v>38</v>
      </c>
      <c r="C517" s="12" t="s">
        <v>38</v>
      </c>
      <c r="D517" s="13" t="s">
        <v>2312</v>
      </c>
      <c r="E517" s="11"/>
      <c r="F517" s="12"/>
      <c r="G517" s="13" t="str">
        <f>"9780786454754"</f>
        <v>9780786454754</v>
      </c>
      <c r="H517" s="13" t="s">
        <v>1625</v>
      </c>
      <c r="I517" s="11" t="s">
        <v>2780</v>
      </c>
      <c r="J517" s="11"/>
      <c r="K517" s="11"/>
      <c r="L517" s="11"/>
      <c r="M517" s="13" t="s">
        <v>2187</v>
      </c>
      <c r="N517" s="12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3" t="s">
        <v>2766</v>
      </c>
      <c r="AB517" s="13">
        <v>813</v>
      </c>
      <c r="AC517" s="13" t="s">
        <v>2313</v>
      </c>
      <c r="AD517" s="13" t="s">
        <v>554</v>
      </c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</row>
    <row r="518" spans="1:40" ht="20.100000000000001" customHeight="1">
      <c r="A518" s="11">
        <v>517</v>
      </c>
      <c r="B518" s="12" t="s">
        <v>38</v>
      </c>
      <c r="C518" s="12" t="s">
        <v>38</v>
      </c>
      <c r="D518" s="13" t="s">
        <v>2312</v>
      </c>
      <c r="E518" s="11"/>
      <c r="F518" s="12"/>
      <c r="G518" s="13" t="str">
        <f>"9781476603698"</f>
        <v>9781476603698</v>
      </c>
      <c r="H518" s="13" t="s">
        <v>1626</v>
      </c>
      <c r="I518" s="11" t="s">
        <v>2788</v>
      </c>
      <c r="J518" s="11"/>
      <c r="K518" s="11"/>
      <c r="L518" s="11"/>
      <c r="M518" s="13" t="s">
        <v>2187</v>
      </c>
      <c r="N518" s="12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3" t="s">
        <v>2766</v>
      </c>
      <c r="AB518" s="13">
        <v>943.08600000000001</v>
      </c>
      <c r="AC518" s="13" t="s">
        <v>2317</v>
      </c>
      <c r="AD518" s="13" t="s">
        <v>555</v>
      </c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</row>
    <row r="519" spans="1:40" ht="20.100000000000001" customHeight="1">
      <c r="A519" s="11">
        <v>518</v>
      </c>
      <c r="B519" s="12" t="s">
        <v>38</v>
      </c>
      <c r="C519" s="12" t="s">
        <v>38</v>
      </c>
      <c r="D519" s="13" t="s">
        <v>2312</v>
      </c>
      <c r="E519" s="11"/>
      <c r="F519" s="12"/>
      <c r="G519" s="13" t="str">
        <f>"9780786454594"</f>
        <v>9780786454594</v>
      </c>
      <c r="H519" s="13" t="s">
        <v>1627</v>
      </c>
      <c r="I519" s="11" t="s">
        <v>2780</v>
      </c>
      <c r="J519" s="11"/>
      <c r="K519" s="11"/>
      <c r="L519" s="11"/>
      <c r="M519" s="13" t="s">
        <v>2187</v>
      </c>
      <c r="N519" s="12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3" t="s">
        <v>2766</v>
      </c>
      <c r="AB519" s="13">
        <v>973.30921999999998</v>
      </c>
      <c r="AC519" s="13" t="s">
        <v>2317</v>
      </c>
      <c r="AD519" s="13" t="s">
        <v>556</v>
      </c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</row>
    <row r="520" spans="1:40" ht="20.100000000000001" customHeight="1">
      <c r="A520" s="11">
        <v>519</v>
      </c>
      <c r="B520" s="12" t="s">
        <v>38</v>
      </c>
      <c r="C520" s="12" t="s">
        <v>38</v>
      </c>
      <c r="D520" s="13" t="s">
        <v>2312</v>
      </c>
      <c r="E520" s="11"/>
      <c r="F520" s="12"/>
      <c r="G520" s="13" t="str">
        <f>"9780786451128"</f>
        <v>9780786451128</v>
      </c>
      <c r="H520" s="13" t="s">
        <v>1628</v>
      </c>
      <c r="I520" s="11" t="s">
        <v>2777</v>
      </c>
      <c r="J520" s="11"/>
      <c r="K520" s="11"/>
      <c r="L520" s="11"/>
      <c r="M520" s="13" t="s">
        <v>2187</v>
      </c>
      <c r="N520" s="12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3" t="s">
        <v>2766</v>
      </c>
      <c r="AB520" s="13"/>
      <c r="AC520" s="13" t="s">
        <v>2338</v>
      </c>
      <c r="AD520" s="13" t="s">
        <v>557</v>
      </c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</row>
    <row r="521" spans="1:40" ht="20.100000000000001" customHeight="1">
      <c r="A521" s="11">
        <v>520</v>
      </c>
      <c r="B521" s="12" t="s">
        <v>38</v>
      </c>
      <c r="C521" s="12" t="s">
        <v>38</v>
      </c>
      <c r="D521" s="13" t="s">
        <v>2312</v>
      </c>
      <c r="E521" s="11"/>
      <c r="F521" s="12"/>
      <c r="G521" s="13" t="str">
        <f>"9780786454525"</f>
        <v>9780786454525</v>
      </c>
      <c r="H521" s="13" t="s">
        <v>1629</v>
      </c>
      <c r="I521" s="11" t="s">
        <v>2780</v>
      </c>
      <c r="J521" s="11"/>
      <c r="K521" s="11"/>
      <c r="L521" s="11"/>
      <c r="M521" s="13" t="s">
        <v>2187</v>
      </c>
      <c r="N521" s="12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3" t="s">
        <v>2766</v>
      </c>
      <c r="AB521" s="13" t="s">
        <v>2638</v>
      </c>
      <c r="AC521" s="13" t="s">
        <v>2315</v>
      </c>
      <c r="AD521" s="13" t="s">
        <v>558</v>
      </c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</row>
    <row r="522" spans="1:40" ht="20.100000000000001" customHeight="1">
      <c r="A522" s="11">
        <v>521</v>
      </c>
      <c r="B522" s="12" t="s">
        <v>38</v>
      </c>
      <c r="C522" s="12" t="s">
        <v>38</v>
      </c>
      <c r="D522" s="13" t="s">
        <v>2312</v>
      </c>
      <c r="E522" s="11"/>
      <c r="F522" s="12"/>
      <c r="G522" s="13" t="str">
        <f>"9780786456598"</f>
        <v>9780786456598</v>
      </c>
      <c r="H522" s="13" t="s">
        <v>1630</v>
      </c>
      <c r="I522" s="11" t="s">
        <v>2783</v>
      </c>
      <c r="J522" s="11"/>
      <c r="K522" s="11"/>
      <c r="L522" s="11"/>
      <c r="M522" s="13" t="s">
        <v>2187</v>
      </c>
      <c r="N522" s="12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3" t="s">
        <v>2766</v>
      </c>
      <c r="AB522" s="13" t="s">
        <v>2639</v>
      </c>
      <c r="AC522" s="13" t="s">
        <v>2313</v>
      </c>
      <c r="AD522" s="13" t="s">
        <v>559</v>
      </c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</row>
    <row r="523" spans="1:40" ht="20.100000000000001" customHeight="1">
      <c r="A523" s="11">
        <v>522</v>
      </c>
      <c r="B523" s="12" t="s">
        <v>38</v>
      </c>
      <c r="C523" s="12" t="s">
        <v>38</v>
      </c>
      <c r="D523" s="13" t="s">
        <v>2312</v>
      </c>
      <c r="E523" s="11"/>
      <c r="F523" s="12"/>
      <c r="G523" s="13" t="str">
        <f>"9780786457311"</f>
        <v>9780786457311</v>
      </c>
      <c r="H523" s="13" t="s">
        <v>1631</v>
      </c>
      <c r="I523" s="11" t="s">
        <v>2783</v>
      </c>
      <c r="J523" s="11"/>
      <c r="K523" s="11"/>
      <c r="L523" s="11"/>
      <c r="M523" s="13" t="s">
        <v>2187</v>
      </c>
      <c r="N523" s="12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3" t="s">
        <v>2766</v>
      </c>
      <c r="AB523" s="13"/>
      <c r="AC523" s="13" t="s">
        <v>2315</v>
      </c>
      <c r="AD523" s="13" t="s">
        <v>560</v>
      </c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</row>
    <row r="524" spans="1:40" ht="20.100000000000001" customHeight="1">
      <c r="A524" s="11">
        <v>523</v>
      </c>
      <c r="B524" s="12" t="s">
        <v>38</v>
      </c>
      <c r="C524" s="12" t="s">
        <v>38</v>
      </c>
      <c r="D524" s="13" t="s">
        <v>2312</v>
      </c>
      <c r="E524" s="11"/>
      <c r="F524" s="12"/>
      <c r="G524" s="13" t="str">
        <f>"9780786453429"</f>
        <v>9780786453429</v>
      </c>
      <c r="H524" s="13" t="s">
        <v>1632</v>
      </c>
      <c r="I524" s="11" t="s">
        <v>2780</v>
      </c>
      <c r="J524" s="11"/>
      <c r="K524" s="11"/>
      <c r="L524" s="11"/>
      <c r="M524" s="13" t="s">
        <v>2187</v>
      </c>
      <c r="N524" s="12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3" t="s">
        <v>2766</v>
      </c>
      <c r="AB524" s="13">
        <v>623.803</v>
      </c>
      <c r="AC524" s="13" t="s">
        <v>2435</v>
      </c>
      <c r="AD524" s="13" t="s">
        <v>561</v>
      </c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</row>
    <row r="525" spans="1:40" ht="20.100000000000001" customHeight="1">
      <c r="A525" s="11">
        <v>524</v>
      </c>
      <c r="B525" s="12" t="s">
        <v>38</v>
      </c>
      <c r="C525" s="12" t="s">
        <v>38</v>
      </c>
      <c r="D525" s="13" t="s">
        <v>2312</v>
      </c>
      <c r="E525" s="11"/>
      <c r="F525" s="12"/>
      <c r="G525" s="13" t="str">
        <f>"9789004217089"</f>
        <v>9789004217089</v>
      </c>
      <c r="H525" s="13" t="s">
        <v>1633</v>
      </c>
      <c r="I525" s="11" t="s">
        <v>2786</v>
      </c>
      <c r="J525" s="11"/>
      <c r="K525" s="11"/>
      <c r="L525" s="11"/>
      <c r="M525" s="13" t="s">
        <v>2184</v>
      </c>
      <c r="N525" s="12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3" t="s">
        <v>2766</v>
      </c>
      <c r="AB525" s="13">
        <v>188</v>
      </c>
      <c r="AC525" s="13" t="s">
        <v>2436</v>
      </c>
      <c r="AD525" s="13" t="s">
        <v>562</v>
      </c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</row>
    <row r="526" spans="1:40" ht="20.100000000000001" customHeight="1">
      <c r="A526" s="11">
        <v>525</v>
      </c>
      <c r="B526" s="12" t="s">
        <v>38</v>
      </c>
      <c r="C526" s="12" t="s">
        <v>38</v>
      </c>
      <c r="D526" s="13" t="s">
        <v>2312</v>
      </c>
      <c r="E526" s="11"/>
      <c r="F526" s="12"/>
      <c r="G526" s="13" t="str">
        <f>"9783110341287"</f>
        <v>9783110341287</v>
      </c>
      <c r="H526" s="13" t="s">
        <v>1634</v>
      </c>
      <c r="I526" s="11" t="s">
        <v>2788</v>
      </c>
      <c r="J526" s="11"/>
      <c r="K526" s="11"/>
      <c r="L526" s="11"/>
      <c r="M526" s="13" t="s">
        <v>2201</v>
      </c>
      <c r="N526" s="12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3" t="s">
        <v>2768</v>
      </c>
      <c r="AB526" s="13"/>
      <c r="AC526" s="13" t="s">
        <v>2345</v>
      </c>
      <c r="AD526" s="13" t="s">
        <v>563</v>
      </c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</row>
    <row r="527" spans="1:40" ht="20.100000000000001" customHeight="1">
      <c r="A527" s="11">
        <v>526</v>
      </c>
      <c r="B527" s="12" t="s">
        <v>38</v>
      </c>
      <c r="C527" s="12" t="s">
        <v>38</v>
      </c>
      <c r="D527" s="13" t="s">
        <v>2312</v>
      </c>
      <c r="E527" s="11"/>
      <c r="F527" s="12"/>
      <c r="G527" s="13" t="str">
        <f>"9781479880423"</f>
        <v>9781479880423</v>
      </c>
      <c r="H527" s="13" t="s">
        <v>1635</v>
      </c>
      <c r="I527" s="11" t="s">
        <v>2788</v>
      </c>
      <c r="J527" s="11"/>
      <c r="K527" s="11"/>
      <c r="L527" s="11"/>
      <c r="M527" s="13" t="s">
        <v>2195</v>
      </c>
      <c r="N527" s="12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3" t="s">
        <v>2766</v>
      </c>
      <c r="AB527" s="13">
        <v>621.87699999999995</v>
      </c>
      <c r="AC527" s="13" t="s">
        <v>2437</v>
      </c>
      <c r="AD527" s="13" t="s">
        <v>564</v>
      </c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</row>
    <row r="528" spans="1:40" ht="20.100000000000001" customHeight="1">
      <c r="A528" s="11">
        <v>527</v>
      </c>
      <c r="B528" s="12" t="s">
        <v>38</v>
      </c>
      <c r="C528" s="12" t="s">
        <v>38</v>
      </c>
      <c r="D528" s="13" t="s">
        <v>2312</v>
      </c>
      <c r="E528" s="11"/>
      <c r="F528" s="12"/>
      <c r="G528" s="13" t="str">
        <f>"9780814777077"</f>
        <v>9780814777077</v>
      </c>
      <c r="H528" s="13" t="s">
        <v>1636</v>
      </c>
      <c r="I528" s="11" t="s">
        <v>2788</v>
      </c>
      <c r="J528" s="11"/>
      <c r="K528" s="11"/>
      <c r="L528" s="11"/>
      <c r="M528" s="13" t="s">
        <v>2195</v>
      </c>
      <c r="N528" s="12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3" t="s">
        <v>2766</v>
      </c>
      <c r="AB528" s="13"/>
      <c r="AC528" s="13" t="s">
        <v>2327</v>
      </c>
      <c r="AD528" s="13" t="s">
        <v>565</v>
      </c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</row>
    <row r="529" spans="1:40" ht="20.100000000000001" customHeight="1">
      <c r="A529" s="11">
        <v>528</v>
      </c>
      <c r="B529" s="12" t="s">
        <v>38</v>
      </c>
      <c r="C529" s="12" t="s">
        <v>38</v>
      </c>
      <c r="D529" s="13" t="s">
        <v>2312</v>
      </c>
      <c r="E529" s="11"/>
      <c r="F529" s="12"/>
      <c r="G529" s="13" t="str">
        <f>"9780814764367"</f>
        <v>9780814764367</v>
      </c>
      <c r="H529" s="13" t="s">
        <v>1637</v>
      </c>
      <c r="I529" s="11" t="s">
        <v>2788</v>
      </c>
      <c r="J529" s="11"/>
      <c r="K529" s="11"/>
      <c r="L529" s="11"/>
      <c r="M529" s="13" t="s">
        <v>2195</v>
      </c>
      <c r="N529" s="12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3" t="s">
        <v>2766</v>
      </c>
      <c r="AB529" s="13" t="s">
        <v>2640</v>
      </c>
      <c r="AC529" s="13" t="s">
        <v>2438</v>
      </c>
      <c r="AD529" s="13" t="s">
        <v>566</v>
      </c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</row>
    <row r="530" spans="1:40" ht="20.100000000000001" customHeight="1">
      <c r="A530" s="11">
        <v>529</v>
      </c>
      <c r="B530" s="12" t="s">
        <v>38</v>
      </c>
      <c r="C530" s="12" t="s">
        <v>38</v>
      </c>
      <c r="D530" s="13" t="s">
        <v>2312</v>
      </c>
      <c r="E530" s="11"/>
      <c r="F530" s="12"/>
      <c r="G530" s="13" t="str">
        <f>"9780814770153"</f>
        <v>9780814770153</v>
      </c>
      <c r="H530" s="13" t="s">
        <v>1638</v>
      </c>
      <c r="I530" s="11" t="s">
        <v>2788</v>
      </c>
      <c r="J530" s="11"/>
      <c r="K530" s="11"/>
      <c r="L530" s="11"/>
      <c r="M530" s="13" t="s">
        <v>2195</v>
      </c>
      <c r="N530" s="12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3" t="s">
        <v>2766</v>
      </c>
      <c r="AB530" s="13">
        <v>302.23</v>
      </c>
      <c r="AC530" s="13" t="s">
        <v>2318</v>
      </c>
      <c r="AD530" s="13" t="s">
        <v>567</v>
      </c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</row>
    <row r="531" spans="1:40" ht="20.100000000000001" customHeight="1">
      <c r="A531" s="11">
        <v>530</v>
      </c>
      <c r="B531" s="12" t="s">
        <v>38</v>
      </c>
      <c r="C531" s="12" t="s">
        <v>38</v>
      </c>
      <c r="D531" s="13" t="s">
        <v>2312</v>
      </c>
      <c r="E531" s="11"/>
      <c r="F531" s="12"/>
      <c r="G531" s="13" t="str">
        <f>"9780199379811"</f>
        <v>9780199379811</v>
      </c>
      <c r="H531" s="13" t="s">
        <v>1639</v>
      </c>
      <c r="I531" s="11" t="s">
        <v>2788</v>
      </c>
      <c r="J531" s="11"/>
      <c r="K531" s="11"/>
      <c r="L531" s="11"/>
      <c r="M531" s="13" t="s">
        <v>2188</v>
      </c>
      <c r="N531" s="12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3" t="s">
        <v>2766</v>
      </c>
      <c r="AB531" s="13">
        <v>282</v>
      </c>
      <c r="AC531" s="13" t="s">
        <v>2323</v>
      </c>
      <c r="AD531" s="13" t="s">
        <v>568</v>
      </c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</row>
    <row r="532" spans="1:40" ht="20.100000000000001" customHeight="1">
      <c r="A532" s="11">
        <v>531</v>
      </c>
      <c r="B532" s="12" t="s">
        <v>38</v>
      </c>
      <c r="C532" s="12" t="s">
        <v>38</v>
      </c>
      <c r="D532" s="13" t="s">
        <v>2312</v>
      </c>
      <c r="E532" s="11"/>
      <c r="F532" s="12"/>
      <c r="G532" s="13" t="str">
        <f>"9780191030109"</f>
        <v>9780191030109</v>
      </c>
      <c r="H532" s="13" t="s">
        <v>1640</v>
      </c>
      <c r="I532" s="11" t="s">
        <v>2784</v>
      </c>
      <c r="J532" s="11"/>
      <c r="K532" s="11"/>
      <c r="L532" s="11"/>
      <c r="M532" s="13" t="s">
        <v>2194</v>
      </c>
      <c r="N532" s="12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3" t="s">
        <v>2766</v>
      </c>
      <c r="AB532" s="13" t="s">
        <v>2641</v>
      </c>
      <c r="AC532" s="13" t="s">
        <v>2328</v>
      </c>
      <c r="AD532" s="13" t="s">
        <v>569</v>
      </c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</row>
    <row r="533" spans="1:40" ht="20.100000000000001" customHeight="1">
      <c r="A533" s="11">
        <v>532</v>
      </c>
      <c r="B533" s="12" t="s">
        <v>38</v>
      </c>
      <c r="C533" s="12" t="s">
        <v>38</v>
      </c>
      <c r="D533" s="13" t="s">
        <v>2312</v>
      </c>
      <c r="E533" s="11"/>
      <c r="F533" s="12"/>
      <c r="G533" s="13" t="str">
        <f>"9780826168757"</f>
        <v>9780826168757</v>
      </c>
      <c r="H533" s="13" t="s">
        <v>1641</v>
      </c>
      <c r="I533" s="11" t="s">
        <v>2788</v>
      </c>
      <c r="J533" s="11"/>
      <c r="K533" s="11"/>
      <c r="L533" s="11"/>
      <c r="M533" s="13" t="s">
        <v>2183</v>
      </c>
      <c r="N533" s="12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3" t="s">
        <v>2766</v>
      </c>
      <c r="AB533" s="13"/>
      <c r="AC533" s="13" t="s">
        <v>2426</v>
      </c>
      <c r="AD533" s="13" t="s">
        <v>570</v>
      </c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</row>
    <row r="534" spans="1:40" ht="20.100000000000001" customHeight="1">
      <c r="A534" s="11">
        <v>533</v>
      </c>
      <c r="B534" s="12" t="s">
        <v>38</v>
      </c>
      <c r="C534" s="12" t="s">
        <v>38</v>
      </c>
      <c r="D534" s="13" t="s">
        <v>2312</v>
      </c>
      <c r="E534" s="11"/>
      <c r="F534" s="12"/>
      <c r="G534" s="13" t="str">
        <f>"9780814770788"</f>
        <v>9780814770788</v>
      </c>
      <c r="H534" s="13" t="s">
        <v>1642</v>
      </c>
      <c r="I534" s="11" t="s">
        <v>2788</v>
      </c>
      <c r="J534" s="11"/>
      <c r="K534" s="11"/>
      <c r="L534" s="11"/>
      <c r="M534" s="13" t="s">
        <v>2195</v>
      </c>
      <c r="N534" s="12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3" t="s">
        <v>2766</v>
      </c>
      <c r="AB534" s="13">
        <v>302.23097300000001</v>
      </c>
      <c r="AC534" s="13" t="s">
        <v>2318</v>
      </c>
      <c r="AD534" s="13" t="s">
        <v>571</v>
      </c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</row>
    <row r="535" spans="1:40" ht="20.100000000000001" customHeight="1">
      <c r="A535" s="11">
        <v>534</v>
      </c>
      <c r="B535" s="12" t="s">
        <v>38</v>
      </c>
      <c r="C535" s="12" t="s">
        <v>38</v>
      </c>
      <c r="D535" s="13" t="s">
        <v>2312</v>
      </c>
      <c r="E535" s="11"/>
      <c r="F535" s="12"/>
      <c r="G535" s="13" t="str">
        <f>"9781608077007"</f>
        <v>9781608077007</v>
      </c>
      <c r="H535" s="13" t="s">
        <v>1643</v>
      </c>
      <c r="I535" s="11" t="s">
        <v>2788</v>
      </c>
      <c r="J535" s="11"/>
      <c r="K535" s="11"/>
      <c r="L535" s="11"/>
      <c r="M535" s="13" t="s">
        <v>2209</v>
      </c>
      <c r="N535" s="12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3" t="s">
        <v>2766</v>
      </c>
      <c r="AB535" s="13">
        <v>621.38400000000001</v>
      </c>
      <c r="AC535" s="13" t="s">
        <v>2433</v>
      </c>
      <c r="AD535" s="13" t="s">
        <v>572</v>
      </c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</row>
    <row r="536" spans="1:40" ht="20.100000000000001" customHeight="1">
      <c r="A536" s="11">
        <v>535</v>
      </c>
      <c r="B536" s="12" t="s">
        <v>38</v>
      </c>
      <c r="C536" s="12" t="s">
        <v>38</v>
      </c>
      <c r="D536" s="13" t="s">
        <v>2312</v>
      </c>
      <c r="E536" s="11"/>
      <c r="F536" s="12"/>
      <c r="G536" s="13" t="str">
        <f>"9781476615653"</f>
        <v>9781476615653</v>
      </c>
      <c r="H536" s="13" t="s">
        <v>1644</v>
      </c>
      <c r="I536" s="11" t="s">
        <v>2788</v>
      </c>
      <c r="J536" s="11"/>
      <c r="K536" s="11"/>
      <c r="L536" s="11"/>
      <c r="M536" s="13" t="s">
        <v>2187</v>
      </c>
      <c r="N536" s="12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3" t="s">
        <v>2766</v>
      </c>
      <c r="AB536" s="13" t="s">
        <v>2642</v>
      </c>
      <c r="AC536" s="13" t="s">
        <v>2318</v>
      </c>
      <c r="AD536" s="13" t="s">
        <v>573</v>
      </c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</row>
    <row r="537" spans="1:40" ht="20.100000000000001" customHeight="1">
      <c r="A537" s="11">
        <v>536</v>
      </c>
      <c r="B537" s="12" t="s">
        <v>38</v>
      </c>
      <c r="C537" s="12" t="s">
        <v>38</v>
      </c>
      <c r="D537" s="13" t="s">
        <v>2312</v>
      </c>
      <c r="E537" s="11"/>
      <c r="F537" s="12"/>
      <c r="G537" s="13" t="str">
        <f>"9781408181812"</f>
        <v>9781408181812</v>
      </c>
      <c r="H537" s="13" t="s">
        <v>1645</v>
      </c>
      <c r="I537" s="11" t="s">
        <v>2788</v>
      </c>
      <c r="J537" s="11"/>
      <c r="K537" s="11"/>
      <c r="L537" s="11"/>
      <c r="M537" s="13" t="s">
        <v>2210</v>
      </c>
      <c r="N537" s="12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3" t="s">
        <v>2766</v>
      </c>
      <c r="AB537" s="13" t="s">
        <v>2643</v>
      </c>
      <c r="AC537" s="13" t="s">
        <v>2345</v>
      </c>
      <c r="AD537" s="13" t="s">
        <v>574</v>
      </c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</row>
    <row r="538" spans="1:40" ht="20.100000000000001" customHeight="1">
      <c r="A538" s="11">
        <v>537</v>
      </c>
      <c r="B538" s="12" t="s">
        <v>38</v>
      </c>
      <c r="C538" s="12" t="s">
        <v>38</v>
      </c>
      <c r="D538" s="13" t="s">
        <v>2312</v>
      </c>
      <c r="E538" s="11"/>
      <c r="F538" s="12"/>
      <c r="G538" s="13" t="str">
        <f>"9781622750856"</f>
        <v>9781622750856</v>
      </c>
      <c r="H538" s="13" t="s">
        <v>1646</v>
      </c>
      <c r="I538" s="11" t="s">
        <v>2786</v>
      </c>
      <c r="J538" s="11"/>
      <c r="K538" s="11"/>
      <c r="L538" s="11"/>
      <c r="M538" s="13" t="s">
        <v>2191</v>
      </c>
      <c r="N538" s="12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3" t="s">
        <v>2766</v>
      </c>
      <c r="AB538" s="13" t="s">
        <v>2644</v>
      </c>
      <c r="AC538" s="13" t="s">
        <v>2313</v>
      </c>
      <c r="AD538" s="13" t="s">
        <v>575</v>
      </c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</row>
    <row r="539" spans="1:40" ht="20.100000000000001" customHeight="1">
      <c r="A539" s="11">
        <v>538</v>
      </c>
      <c r="B539" s="12" t="s">
        <v>38</v>
      </c>
      <c r="C539" s="12" t="s">
        <v>38</v>
      </c>
      <c r="D539" s="13" t="s">
        <v>2312</v>
      </c>
      <c r="E539" s="11"/>
      <c r="F539" s="12"/>
      <c r="G539" s="13" t="str">
        <f>"9781622750870"</f>
        <v>9781622750870</v>
      </c>
      <c r="H539" s="13" t="s">
        <v>1647</v>
      </c>
      <c r="I539" s="11" t="s">
        <v>2786</v>
      </c>
      <c r="J539" s="11"/>
      <c r="K539" s="11"/>
      <c r="L539" s="11"/>
      <c r="M539" s="13" t="s">
        <v>2191</v>
      </c>
      <c r="N539" s="12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3" t="s">
        <v>2766</v>
      </c>
      <c r="AB539" s="13" t="s">
        <v>2645</v>
      </c>
      <c r="AC539" s="13" t="s">
        <v>2313</v>
      </c>
      <c r="AD539" s="13" t="s">
        <v>576</v>
      </c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</row>
    <row r="540" spans="1:40" ht="20.100000000000001" customHeight="1">
      <c r="A540" s="11">
        <v>539</v>
      </c>
      <c r="B540" s="12" t="s">
        <v>38</v>
      </c>
      <c r="C540" s="12" t="s">
        <v>38</v>
      </c>
      <c r="D540" s="13" t="s">
        <v>2312</v>
      </c>
      <c r="E540" s="11"/>
      <c r="F540" s="12"/>
      <c r="G540" s="13" t="str">
        <f>"9781622750931"</f>
        <v>9781622750931</v>
      </c>
      <c r="H540" s="13" t="s">
        <v>1648</v>
      </c>
      <c r="I540" s="11" t="s">
        <v>2786</v>
      </c>
      <c r="J540" s="11"/>
      <c r="K540" s="11"/>
      <c r="L540" s="11"/>
      <c r="M540" s="13" t="s">
        <v>2191</v>
      </c>
      <c r="N540" s="12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3" t="s">
        <v>2766</v>
      </c>
      <c r="AB540" s="13">
        <v>809</v>
      </c>
      <c r="AC540" s="13" t="s">
        <v>2313</v>
      </c>
      <c r="AD540" s="13" t="s">
        <v>577</v>
      </c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</row>
    <row r="541" spans="1:40" ht="20.100000000000001" customHeight="1">
      <c r="A541" s="11">
        <v>540</v>
      </c>
      <c r="B541" s="12" t="s">
        <v>38</v>
      </c>
      <c r="C541" s="12" t="s">
        <v>38</v>
      </c>
      <c r="D541" s="13" t="s">
        <v>2312</v>
      </c>
      <c r="E541" s="11"/>
      <c r="F541" s="12"/>
      <c r="G541" s="13" t="str">
        <f>"9781622750955"</f>
        <v>9781622750955</v>
      </c>
      <c r="H541" s="13" t="s">
        <v>1649</v>
      </c>
      <c r="I541" s="11" t="s">
        <v>2786</v>
      </c>
      <c r="J541" s="11"/>
      <c r="K541" s="11"/>
      <c r="L541" s="11"/>
      <c r="M541" s="13" t="s">
        <v>2191</v>
      </c>
      <c r="N541" s="12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3" t="s">
        <v>2766</v>
      </c>
      <c r="AB541" s="13" t="s">
        <v>2646</v>
      </c>
      <c r="AC541" s="13" t="s">
        <v>2313</v>
      </c>
      <c r="AD541" s="13" t="s">
        <v>578</v>
      </c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</row>
    <row r="542" spans="1:40" ht="20.100000000000001" customHeight="1">
      <c r="A542" s="11">
        <v>541</v>
      </c>
      <c r="B542" s="12" t="s">
        <v>38</v>
      </c>
      <c r="C542" s="12" t="s">
        <v>38</v>
      </c>
      <c r="D542" s="13" t="s">
        <v>2312</v>
      </c>
      <c r="E542" s="11"/>
      <c r="F542" s="12"/>
      <c r="G542" s="13" t="str">
        <f>"9781622750979"</f>
        <v>9781622750979</v>
      </c>
      <c r="H542" s="13" t="s">
        <v>1650</v>
      </c>
      <c r="I542" s="11" t="s">
        <v>2786</v>
      </c>
      <c r="J542" s="11"/>
      <c r="K542" s="11"/>
      <c r="L542" s="11"/>
      <c r="M542" s="13" t="s">
        <v>2191</v>
      </c>
      <c r="N542" s="12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3" t="s">
        <v>2766</v>
      </c>
      <c r="AB542" s="13" t="s">
        <v>2647</v>
      </c>
      <c r="AC542" s="13" t="s">
        <v>2313</v>
      </c>
      <c r="AD542" s="13" t="s">
        <v>579</v>
      </c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</row>
    <row r="543" spans="1:40" ht="20.100000000000001" customHeight="1">
      <c r="A543" s="11">
        <v>542</v>
      </c>
      <c r="B543" s="12" t="s">
        <v>38</v>
      </c>
      <c r="C543" s="12" t="s">
        <v>38</v>
      </c>
      <c r="D543" s="13" t="s">
        <v>2312</v>
      </c>
      <c r="E543" s="11"/>
      <c r="F543" s="12"/>
      <c r="G543" s="13" t="str">
        <f>"9781622751228"</f>
        <v>9781622751228</v>
      </c>
      <c r="H543" s="13" t="s">
        <v>1651</v>
      </c>
      <c r="I543" s="11" t="s">
        <v>2786</v>
      </c>
      <c r="J543" s="11"/>
      <c r="K543" s="11"/>
      <c r="L543" s="11"/>
      <c r="M543" s="13" t="s">
        <v>2191</v>
      </c>
      <c r="N543" s="12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3" t="s">
        <v>2766</v>
      </c>
      <c r="AB543" s="13" t="s">
        <v>2648</v>
      </c>
      <c r="AC543" s="13" t="s">
        <v>2315</v>
      </c>
      <c r="AD543" s="13" t="s">
        <v>580</v>
      </c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</row>
    <row r="544" spans="1:40" ht="20.100000000000001" customHeight="1">
      <c r="A544" s="11">
        <v>543</v>
      </c>
      <c r="B544" s="12" t="s">
        <v>38</v>
      </c>
      <c r="C544" s="12" t="s">
        <v>38</v>
      </c>
      <c r="D544" s="13" t="s">
        <v>2312</v>
      </c>
      <c r="E544" s="11"/>
      <c r="F544" s="12"/>
      <c r="G544" s="13" t="str">
        <f>"9781622751259"</f>
        <v>9781622751259</v>
      </c>
      <c r="H544" s="13" t="s">
        <v>1652</v>
      </c>
      <c r="I544" s="11" t="s">
        <v>2786</v>
      </c>
      <c r="J544" s="11"/>
      <c r="K544" s="11"/>
      <c r="L544" s="11"/>
      <c r="M544" s="13" t="s">
        <v>2191</v>
      </c>
      <c r="N544" s="12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3" t="s">
        <v>2766</v>
      </c>
      <c r="AB544" s="13" t="s">
        <v>2649</v>
      </c>
      <c r="AC544" s="13" t="s">
        <v>2393</v>
      </c>
      <c r="AD544" s="13" t="s">
        <v>581</v>
      </c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</row>
    <row r="545" spans="1:40" ht="20.100000000000001" customHeight="1">
      <c r="A545" s="11">
        <v>544</v>
      </c>
      <c r="B545" s="12" t="s">
        <v>38</v>
      </c>
      <c r="C545" s="12" t="s">
        <v>38</v>
      </c>
      <c r="D545" s="13" t="s">
        <v>2312</v>
      </c>
      <c r="E545" s="11"/>
      <c r="F545" s="12"/>
      <c r="G545" s="13" t="str">
        <f>"9781622751273"</f>
        <v>9781622751273</v>
      </c>
      <c r="H545" s="13" t="s">
        <v>1653</v>
      </c>
      <c r="I545" s="11" t="s">
        <v>2786</v>
      </c>
      <c r="J545" s="11"/>
      <c r="K545" s="11"/>
      <c r="L545" s="11"/>
      <c r="M545" s="13" t="s">
        <v>2191</v>
      </c>
      <c r="N545" s="12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3" t="s">
        <v>2766</v>
      </c>
      <c r="AB545" s="13">
        <v>920.72</v>
      </c>
      <c r="AC545" s="13" t="s">
        <v>2317</v>
      </c>
      <c r="AD545" s="13" t="s">
        <v>582</v>
      </c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</row>
    <row r="546" spans="1:40" ht="20.100000000000001" customHeight="1">
      <c r="A546" s="11">
        <v>545</v>
      </c>
      <c r="B546" s="12" t="s">
        <v>38</v>
      </c>
      <c r="C546" s="12" t="s">
        <v>38</v>
      </c>
      <c r="D546" s="13" t="s">
        <v>2312</v>
      </c>
      <c r="E546" s="11"/>
      <c r="F546" s="12"/>
      <c r="G546" s="13" t="str">
        <f>"9781622751303"</f>
        <v>9781622751303</v>
      </c>
      <c r="H546" s="13" t="s">
        <v>1654</v>
      </c>
      <c r="I546" s="11" t="s">
        <v>2786</v>
      </c>
      <c r="J546" s="11"/>
      <c r="K546" s="11"/>
      <c r="L546" s="11"/>
      <c r="M546" s="13" t="s">
        <v>2191</v>
      </c>
      <c r="N546" s="12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3" t="s">
        <v>2766</v>
      </c>
      <c r="AB546" s="13" t="s">
        <v>2650</v>
      </c>
      <c r="AC546" s="13" t="s">
        <v>2315</v>
      </c>
      <c r="AD546" s="13" t="s">
        <v>583</v>
      </c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</row>
    <row r="547" spans="1:40" ht="20.100000000000001" customHeight="1">
      <c r="A547" s="11">
        <v>546</v>
      </c>
      <c r="B547" s="12" t="s">
        <v>38</v>
      </c>
      <c r="C547" s="12" t="s">
        <v>38</v>
      </c>
      <c r="D547" s="13" t="s">
        <v>2312</v>
      </c>
      <c r="E547" s="11"/>
      <c r="F547" s="12"/>
      <c r="G547" s="13" t="str">
        <f>"9781622751334"</f>
        <v>9781622751334</v>
      </c>
      <c r="H547" s="13" t="s">
        <v>1655</v>
      </c>
      <c r="I547" s="11" t="s">
        <v>2786</v>
      </c>
      <c r="J547" s="11"/>
      <c r="K547" s="11"/>
      <c r="L547" s="11"/>
      <c r="M547" s="13" t="s">
        <v>2191</v>
      </c>
      <c r="N547" s="12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3" t="s">
        <v>2766</v>
      </c>
      <c r="AB547" s="13">
        <v>109.2</v>
      </c>
      <c r="AC547" s="13" t="s">
        <v>2325</v>
      </c>
      <c r="AD547" s="13" t="s">
        <v>584</v>
      </c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</row>
    <row r="548" spans="1:40" ht="20.100000000000001" customHeight="1">
      <c r="A548" s="11">
        <v>547</v>
      </c>
      <c r="B548" s="12" t="s">
        <v>38</v>
      </c>
      <c r="C548" s="12" t="s">
        <v>38</v>
      </c>
      <c r="D548" s="13" t="s">
        <v>2312</v>
      </c>
      <c r="E548" s="11"/>
      <c r="F548" s="12"/>
      <c r="G548" s="13" t="str">
        <f>"9781622751358"</f>
        <v>9781622751358</v>
      </c>
      <c r="H548" s="13" t="s">
        <v>1656</v>
      </c>
      <c r="I548" s="11" t="s">
        <v>2786</v>
      </c>
      <c r="J548" s="11"/>
      <c r="K548" s="11"/>
      <c r="L548" s="11"/>
      <c r="M548" s="13" t="s">
        <v>2191</v>
      </c>
      <c r="N548" s="12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3" t="s">
        <v>2766</v>
      </c>
      <c r="AB548" s="13" t="s">
        <v>2646</v>
      </c>
      <c r="AC548" s="13" t="s">
        <v>2338</v>
      </c>
      <c r="AD548" s="13" t="s">
        <v>585</v>
      </c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</row>
    <row r="549" spans="1:40" ht="20.100000000000001" customHeight="1">
      <c r="A549" s="11">
        <v>548</v>
      </c>
      <c r="B549" s="12" t="s">
        <v>38</v>
      </c>
      <c r="C549" s="12" t="s">
        <v>38</v>
      </c>
      <c r="D549" s="13" t="s">
        <v>2312</v>
      </c>
      <c r="E549" s="11"/>
      <c r="F549" s="12"/>
      <c r="G549" s="13" t="str">
        <f>"9781476612133"</f>
        <v>9781476612133</v>
      </c>
      <c r="H549" s="13" t="s">
        <v>1657</v>
      </c>
      <c r="I549" s="11" t="s">
        <v>2788</v>
      </c>
      <c r="J549" s="11"/>
      <c r="K549" s="11"/>
      <c r="L549" s="11"/>
      <c r="M549" s="13" t="s">
        <v>2187</v>
      </c>
      <c r="N549" s="12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3" t="s">
        <v>2766</v>
      </c>
      <c r="AB549" s="13">
        <v>324.9730917</v>
      </c>
      <c r="AC549" s="13" t="s">
        <v>2329</v>
      </c>
      <c r="AD549" s="13" t="s">
        <v>586</v>
      </c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</row>
    <row r="550" spans="1:40" ht="20.100000000000001" customHeight="1">
      <c r="A550" s="11">
        <v>549</v>
      </c>
      <c r="B550" s="12" t="s">
        <v>38</v>
      </c>
      <c r="C550" s="12" t="s">
        <v>38</v>
      </c>
      <c r="D550" s="13" t="s">
        <v>2312</v>
      </c>
      <c r="E550" s="11"/>
      <c r="F550" s="12"/>
      <c r="G550" s="13" t="str">
        <f>"9780199339006"</f>
        <v>9780199339006</v>
      </c>
      <c r="H550" s="13" t="s">
        <v>1658</v>
      </c>
      <c r="I550" s="11" t="s">
        <v>2788</v>
      </c>
      <c r="J550" s="11"/>
      <c r="K550" s="11"/>
      <c r="L550" s="11"/>
      <c r="M550" s="13" t="s">
        <v>2188</v>
      </c>
      <c r="N550" s="12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3" t="s">
        <v>2766</v>
      </c>
      <c r="AB550" s="13">
        <v>363.33097299999997</v>
      </c>
      <c r="AC550" s="13" t="s">
        <v>2318</v>
      </c>
      <c r="AD550" s="13" t="s">
        <v>587</v>
      </c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</row>
    <row r="551" spans="1:40" ht="20.100000000000001" customHeight="1">
      <c r="A551" s="11">
        <v>550</v>
      </c>
      <c r="B551" s="12" t="s">
        <v>38</v>
      </c>
      <c r="C551" s="12" t="s">
        <v>38</v>
      </c>
      <c r="D551" s="13" t="s">
        <v>2312</v>
      </c>
      <c r="E551" s="11"/>
      <c r="F551" s="12"/>
      <c r="G551" s="13" t="str">
        <f>"9781479874972"</f>
        <v>9781479874972</v>
      </c>
      <c r="H551" s="13" t="s">
        <v>1659</v>
      </c>
      <c r="I551" s="11" t="s">
        <v>2788</v>
      </c>
      <c r="J551" s="11"/>
      <c r="K551" s="11"/>
      <c r="L551" s="11"/>
      <c r="M551" s="13" t="s">
        <v>2195</v>
      </c>
      <c r="N551" s="12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3" t="s">
        <v>2766</v>
      </c>
      <c r="AB551" s="13">
        <v>973.31</v>
      </c>
      <c r="AC551" s="13" t="s">
        <v>2317</v>
      </c>
      <c r="AD551" s="13" t="s">
        <v>588</v>
      </c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</row>
    <row r="552" spans="1:40" ht="20.100000000000001" customHeight="1">
      <c r="A552" s="11">
        <v>551</v>
      </c>
      <c r="B552" s="12" t="s">
        <v>38</v>
      </c>
      <c r="C552" s="12" t="s">
        <v>38</v>
      </c>
      <c r="D552" s="13" t="s">
        <v>2312</v>
      </c>
      <c r="E552" s="11"/>
      <c r="F552" s="12"/>
      <c r="G552" s="13" t="str">
        <f>"9780826199164"</f>
        <v>9780826199164</v>
      </c>
      <c r="H552" s="13" t="s">
        <v>1660</v>
      </c>
      <c r="I552" s="11" t="s">
        <v>2788</v>
      </c>
      <c r="J552" s="11"/>
      <c r="K552" s="11"/>
      <c r="L552" s="11"/>
      <c r="M552" s="13" t="s">
        <v>2183</v>
      </c>
      <c r="N552" s="12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3" t="s">
        <v>2766</v>
      </c>
      <c r="AB552" s="13"/>
      <c r="AC552" s="13" t="s">
        <v>2346</v>
      </c>
      <c r="AD552" s="13" t="s">
        <v>589</v>
      </c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</row>
    <row r="553" spans="1:40" ht="20.100000000000001" customHeight="1">
      <c r="A553" s="11">
        <v>552</v>
      </c>
      <c r="B553" s="12" t="s">
        <v>38</v>
      </c>
      <c r="C553" s="12" t="s">
        <v>38</v>
      </c>
      <c r="D553" s="13" t="s">
        <v>2312</v>
      </c>
      <c r="E553" s="11"/>
      <c r="F553" s="12"/>
      <c r="G553" s="13" t="str">
        <f>"9781476614700"</f>
        <v>9781476614700</v>
      </c>
      <c r="H553" s="13" t="s">
        <v>1661</v>
      </c>
      <c r="I553" s="11" t="s">
        <v>2788</v>
      </c>
      <c r="J553" s="11"/>
      <c r="K553" s="11"/>
      <c r="L553" s="11"/>
      <c r="M553" s="13" t="s">
        <v>2187</v>
      </c>
      <c r="N553" s="12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3" t="s">
        <v>2766</v>
      </c>
      <c r="AB553" s="13" t="s">
        <v>2651</v>
      </c>
      <c r="AC553" s="13" t="s">
        <v>2315</v>
      </c>
      <c r="AD553" s="13" t="s">
        <v>590</v>
      </c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</row>
    <row r="554" spans="1:40" ht="20.100000000000001" customHeight="1">
      <c r="A554" s="11">
        <v>553</v>
      </c>
      <c r="B554" s="12" t="s">
        <v>38</v>
      </c>
      <c r="C554" s="12" t="s">
        <v>38</v>
      </c>
      <c r="D554" s="13" t="s">
        <v>2312</v>
      </c>
      <c r="E554" s="11"/>
      <c r="F554" s="12"/>
      <c r="G554" s="13" t="str">
        <f>"9781118775325"</f>
        <v>9781118775325</v>
      </c>
      <c r="H554" s="13" t="s">
        <v>1662</v>
      </c>
      <c r="I554" s="11" t="s">
        <v>2788</v>
      </c>
      <c r="J554" s="11"/>
      <c r="K554" s="11"/>
      <c r="L554" s="11"/>
      <c r="M554" s="13" t="s">
        <v>2176</v>
      </c>
      <c r="N554" s="12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3" t="s">
        <v>2766</v>
      </c>
      <c r="AB554" s="13">
        <v>616.85220000000004</v>
      </c>
      <c r="AC554" s="13" t="s">
        <v>2333</v>
      </c>
      <c r="AD554" s="13" t="s">
        <v>591</v>
      </c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</row>
    <row r="555" spans="1:40" ht="20.100000000000001" customHeight="1">
      <c r="A555" s="11">
        <v>554</v>
      </c>
      <c r="B555" s="12" t="s">
        <v>38</v>
      </c>
      <c r="C555" s="12" t="s">
        <v>38</v>
      </c>
      <c r="D555" s="13" t="s">
        <v>2312</v>
      </c>
      <c r="E555" s="11"/>
      <c r="F555" s="12"/>
      <c r="G555" s="13" t="str">
        <f>"9780191583209"</f>
        <v>9780191583209</v>
      </c>
      <c r="H555" s="13" t="s">
        <v>1663</v>
      </c>
      <c r="I555" s="11" t="s">
        <v>2772</v>
      </c>
      <c r="J555" s="11"/>
      <c r="K555" s="11"/>
      <c r="L555" s="11"/>
      <c r="M555" s="13" t="s">
        <v>2188</v>
      </c>
      <c r="N555" s="12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3" t="s">
        <v>2766</v>
      </c>
      <c r="AB555" s="13">
        <v>941</v>
      </c>
      <c r="AC555" s="13" t="s">
        <v>2317</v>
      </c>
      <c r="AD555" s="13" t="s">
        <v>592</v>
      </c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</row>
    <row r="556" spans="1:40" ht="20.100000000000001" customHeight="1">
      <c r="A556" s="11">
        <v>555</v>
      </c>
      <c r="B556" s="12" t="s">
        <v>38</v>
      </c>
      <c r="C556" s="12" t="s">
        <v>38</v>
      </c>
      <c r="D556" s="13" t="s">
        <v>2312</v>
      </c>
      <c r="E556" s="11"/>
      <c r="F556" s="12"/>
      <c r="G556" s="13" t="str">
        <f>"9780191586415"</f>
        <v>9780191586415</v>
      </c>
      <c r="H556" s="13" t="s">
        <v>1664</v>
      </c>
      <c r="I556" s="11" t="s">
        <v>2779</v>
      </c>
      <c r="J556" s="11"/>
      <c r="K556" s="11"/>
      <c r="L556" s="11"/>
      <c r="M556" s="13" t="s">
        <v>2188</v>
      </c>
      <c r="N556" s="12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3" t="s">
        <v>2766</v>
      </c>
      <c r="AB556" s="13">
        <v>938</v>
      </c>
      <c r="AC556" s="13" t="s">
        <v>2317</v>
      </c>
      <c r="AD556" s="13" t="s">
        <v>593</v>
      </c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</row>
    <row r="557" spans="1:40" ht="20.100000000000001" customHeight="1">
      <c r="A557" s="11">
        <v>556</v>
      </c>
      <c r="B557" s="12" t="s">
        <v>38</v>
      </c>
      <c r="C557" s="12" t="s">
        <v>38</v>
      </c>
      <c r="D557" s="13" t="s">
        <v>2312</v>
      </c>
      <c r="E557" s="11"/>
      <c r="F557" s="12"/>
      <c r="G557" s="13" t="str">
        <f>"9780730307822"</f>
        <v>9780730307822</v>
      </c>
      <c r="H557" s="13" t="s">
        <v>1665</v>
      </c>
      <c r="I557" s="11" t="s">
        <v>2789</v>
      </c>
      <c r="J557" s="11"/>
      <c r="K557" s="11"/>
      <c r="L557" s="11"/>
      <c r="M557" s="13" t="s">
        <v>2176</v>
      </c>
      <c r="N557" s="12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3" t="s">
        <v>2766</v>
      </c>
      <c r="AB557" s="13"/>
      <c r="AC557" s="13" t="s">
        <v>2314</v>
      </c>
      <c r="AD557" s="13" t="s">
        <v>594</v>
      </c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</row>
    <row r="558" spans="1:40" ht="20.100000000000001" customHeight="1">
      <c r="A558" s="11">
        <v>557</v>
      </c>
      <c r="B558" s="12" t="s">
        <v>38</v>
      </c>
      <c r="C558" s="12" t="s">
        <v>38</v>
      </c>
      <c r="D558" s="13" t="s">
        <v>2312</v>
      </c>
      <c r="E558" s="11"/>
      <c r="F558" s="12"/>
      <c r="G558" s="13" t="str">
        <f>"9783527654734"</f>
        <v>9783527654734</v>
      </c>
      <c r="H558" s="13" t="s">
        <v>1666</v>
      </c>
      <c r="I558" s="11" t="s">
        <v>2788</v>
      </c>
      <c r="J558" s="11"/>
      <c r="K558" s="11"/>
      <c r="L558" s="11"/>
      <c r="M558" s="13" t="s">
        <v>2176</v>
      </c>
      <c r="N558" s="12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3" t="s">
        <v>2766</v>
      </c>
      <c r="AB558" s="13"/>
      <c r="AC558" s="13" t="s">
        <v>2439</v>
      </c>
      <c r="AD558" s="13" t="s">
        <v>595</v>
      </c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</row>
    <row r="559" spans="1:40" ht="20.100000000000001" customHeight="1">
      <c r="A559" s="11">
        <v>558</v>
      </c>
      <c r="B559" s="12" t="s">
        <v>38</v>
      </c>
      <c r="C559" s="12" t="s">
        <v>38</v>
      </c>
      <c r="D559" s="13" t="s">
        <v>2312</v>
      </c>
      <c r="E559" s="11"/>
      <c r="F559" s="12"/>
      <c r="G559" s="13" t="str">
        <f>"9781625131720"</f>
        <v>9781625131720</v>
      </c>
      <c r="H559" s="13" t="s">
        <v>1667</v>
      </c>
      <c r="I559" s="11" t="s">
        <v>2788</v>
      </c>
      <c r="J559" s="11"/>
      <c r="K559" s="11"/>
      <c r="L559" s="11"/>
      <c r="M559" s="13" t="s">
        <v>2182</v>
      </c>
      <c r="N559" s="12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3" t="s">
        <v>2766</v>
      </c>
      <c r="AB559" s="13">
        <v>31</v>
      </c>
      <c r="AC559" s="13" t="s">
        <v>2354</v>
      </c>
      <c r="AD559" s="13" t="s">
        <v>596</v>
      </c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</row>
    <row r="560" spans="1:40" ht="20.100000000000001" customHeight="1">
      <c r="A560" s="11">
        <v>559</v>
      </c>
      <c r="B560" s="12" t="s">
        <v>38</v>
      </c>
      <c r="C560" s="12" t="s">
        <v>38</v>
      </c>
      <c r="D560" s="13" t="s">
        <v>2312</v>
      </c>
      <c r="E560" s="11"/>
      <c r="F560" s="12"/>
      <c r="G560" s="13" t="str">
        <f>"9780520958814"</f>
        <v>9780520958814</v>
      </c>
      <c r="H560" s="13" t="s">
        <v>1668</v>
      </c>
      <c r="I560" s="11" t="s">
        <v>2788</v>
      </c>
      <c r="J560" s="11"/>
      <c r="K560" s="11"/>
      <c r="L560" s="11"/>
      <c r="M560" s="13" t="s">
        <v>2211</v>
      </c>
      <c r="N560" s="12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3" t="s">
        <v>2766</v>
      </c>
      <c r="AB560" s="13" t="s">
        <v>2652</v>
      </c>
      <c r="AC560" s="13" t="s">
        <v>2440</v>
      </c>
      <c r="AD560" s="13" t="s">
        <v>597</v>
      </c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</row>
    <row r="561" spans="1:40" ht="20.100000000000001" customHeight="1">
      <c r="A561" s="11">
        <v>560</v>
      </c>
      <c r="B561" s="12" t="s">
        <v>38</v>
      </c>
      <c r="C561" s="12" t="s">
        <v>38</v>
      </c>
      <c r="D561" s="13" t="s">
        <v>2312</v>
      </c>
      <c r="E561" s="11"/>
      <c r="F561" s="12"/>
      <c r="G561" s="13" t="str">
        <f>"9780520959651"</f>
        <v>9780520959651</v>
      </c>
      <c r="H561" s="13" t="s">
        <v>1669</v>
      </c>
      <c r="I561" s="11" t="s">
        <v>2788</v>
      </c>
      <c r="J561" s="11"/>
      <c r="K561" s="11"/>
      <c r="L561" s="11"/>
      <c r="M561" s="13" t="s">
        <v>2211</v>
      </c>
      <c r="N561" s="12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3" t="s">
        <v>2766</v>
      </c>
      <c r="AB561" s="13" t="s">
        <v>2653</v>
      </c>
      <c r="AC561" s="13" t="s">
        <v>2441</v>
      </c>
      <c r="AD561" s="13" t="s">
        <v>598</v>
      </c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</row>
    <row r="562" spans="1:40" ht="20.100000000000001" customHeight="1">
      <c r="A562" s="11">
        <v>561</v>
      </c>
      <c r="B562" s="12" t="s">
        <v>38</v>
      </c>
      <c r="C562" s="12" t="s">
        <v>38</v>
      </c>
      <c r="D562" s="13" t="s">
        <v>2312</v>
      </c>
      <c r="E562" s="11"/>
      <c r="F562" s="12"/>
      <c r="G562" s="13" t="str">
        <f>"9781118834138"</f>
        <v>9781118834138</v>
      </c>
      <c r="H562" s="13" t="s">
        <v>1670</v>
      </c>
      <c r="I562" s="11" t="s">
        <v>2788</v>
      </c>
      <c r="J562" s="11"/>
      <c r="K562" s="11"/>
      <c r="L562" s="11"/>
      <c r="M562" s="13" t="s">
        <v>2176</v>
      </c>
      <c r="N562" s="12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3" t="s">
        <v>2766</v>
      </c>
      <c r="AB562" s="13">
        <v>937.00400000000002</v>
      </c>
      <c r="AC562" s="13" t="s">
        <v>2317</v>
      </c>
      <c r="AD562" s="13" t="s">
        <v>599</v>
      </c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</row>
    <row r="563" spans="1:40" ht="20.100000000000001" customHeight="1">
      <c r="A563" s="11">
        <v>562</v>
      </c>
      <c r="B563" s="12" t="s">
        <v>38</v>
      </c>
      <c r="C563" s="12" t="s">
        <v>38</v>
      </c>
      <c r="D563" s="13" t="s">
        <v>2312</v>
      </c>
      <c r="E563" s="11"/>
      <c r="F563" s="12"/>
      <c r="G563" s="13" t="str">
        <f>"9781910158142"</f>
        <v>9781910158142</v>
      </c>
      <c r="H563" s="13" t="s">
        <v>1671</v>
      </c>
      <c r="I563" s="11" t="s">
        <v>2788</v>
      </c>
      <c r="J563" s="11"/>
      <c r="K563" s="11"/>
      <c r="L563" s="11"/>
      <c r="M563" s="13" t="s">
        <v>2212</v>
      </c>
      <c r="N563" s="12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3" t="s">
        <v>2766</v>
      </c>
      <c r="AB563" s="13">
        <v>808.06637799999999</v>
      </c>
      <c r="AC563" s="13" t="s">
        <v>2442</v>
      </c>
      <c r="AD563" s="13" t="s">
        <v>600</v>
      </c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</row>
    <row r="564" spans="1:40" ht="20.100000000000001" customHeight="1">
      <c r="A564" s="11">
        <v>563</v>
      </c>
      <c r="B564" s="12" t="s">
        <v>38</v>
      </c>
      <c r="C564" s="12" t="s">
        <v>38</v>
      </c>
      <c r="D564" s="13" t="s">
        <v>2312</v>
      </c>
      <c r="E564" s="11"/>
      <c r="F564" s="12"/>
      <c r="G564" s="13" t="str">
        <f>"9781118641286"</f>
        <v>9781118641286</v>
      </c>
      <c r="H564" s="13" t="s">
        <v>1672</v>
      </c>
      <c r="I564" s="11" t="s">
        <v>2789</v>
      </c>
      <c r="J564" s="11"/>
      <c r="K564" s="11"/>
      <c r="L564" s="11"/>
      <c r="M564" s="13" t="s">
        <v>2176</v>
      </c>
      <c r="N564" s="12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3" t="s">
        <v>2766</v>
      </c>
      <c r="AB564" s="13">
        <v>658.40120000000002</v>
      </c>
      <c r="AC564" s="13" t="s">
        <v>2314</v>
      </c>
      <c r="AD564" s="13" t="s">
        <v>601</v>
      </c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</row>
    <row r="565" spans="1:40" ht="20.100000000000001" customHeight="1">
      <c r="A565" s="11">
        <v>564</v>
      </c>
      <c r="B565" s="12" t="s">
        <v>38</v>
      </c>
      <c r="C565" s="12" t="s">
        <v>38</v>
      </c>
      <c r="D565" s="13" t="s">
        <v>2312</v>
      </c>
      <c r="E565" s="11"/>
      <c r="F565" s="12"/>
      <c r="G565" s="13" t="str">
        <f>"9780191587733"</f>
        <v>9780191587733</v>
      </c>
      <c r="H565" s="13" t="s">
        <v>1673</v>
      </c>
      <c r="I565" s="11" t="s">
        <v>2776</v>
      </c>
      <c r="J565" s="11"/>
      <c r="K565" s="11"/>
      <c r="L565" s="11"/>
      <c r="M565" s="13" t="s">
        <v>2188</v>
      </c>
      <c r="N565" s="12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3" t="s">
        <v>2766</v>
      </c>
      <c r="AB565" s="13">
        <v>746</v>
      </c>
      <c r="AC565" s="13" t="s">
        <v>2315</v>
      </c>
      <c r="AD565" s="13" t="s">
        <v>602</v>
      </c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</row>
    <row r="566" spans="1:40" ht="20.100000000000001" customHeight="1">
      <c r="A566" s="11">
        <v>565</v>
      </c>
      <c r="B566" s="12" t="s">
        <v>38</v>
      </c>
      <c r="C566" s="12" t="s">
        <v>38</v>
      </c>
      <c r="D566" s="13" t="s">
        <v>2312</v>
      </c>
      <c r="E566" s="11"/>
      <c r="F566" s="12"/>
      <c r="G566" s="13" t="str">
        <f>"9781118834589"</f>
        <v>9781118834589</v>
      </c>
      <c r="H566" s="13" t="s">
        <v>1674</v>
      </c>
      <c r="I566" s="11" t="s">
        <v>2788</v>
      </c>
      <c r="J566" s="11"/>
      <c r="K566" s="11"/>
      <c r="L566" s="11"/>
      <c r="M566" s="13" t="s">
        <v>2176</v>
      </c>
      <c r="N566" s="12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3" t="s">
        <v>2766</v>
      </c>
      <c r="AB566" s="13">
        <v>973.91409199999998</v>
      </c>
      <c r="AC566" s="13" t="s">
        <v>2317</v>
      </c>
      <c r="AD566" s="13" t="s">
        <v>603</v>
      </c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</row>
    <row r="567" spans="1:40" ht="20.100000000000001" customHeight="1">
      <c r="A567" s="11">
        <v>566</v>
      </c>
      <c r="B567" s="12" t="s">
        <v>38</v>
      </c>
      <c r="C567" s="12" t="s">
        <v>38</v>
      </c>
      <c r="D567" s="13" t="s">
        <v>2312</v>
      </c>
      <c r="E567" s="11"/>
      <c r="F567" s="12"/>
      <c r="G567" s="13" t="str">
        <f>"9781479818334"</f>
        <v>9781479818334</v>
      </c>
      <c r="H567" s="13" t="s">
        <v>1675</v>
      </c>
      <c r="I567" s="11" t="s">
        <v>2788</v>
      </c>
      <c r="J567" s="11"/>
      <c r="K567" s="11"/>
      <c r="L567" s="11"/>
      <c r="M567" s="13" t="s">
        <v>2195</v>
      </c>
      <c r="N567" s="12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3" t="s">
        <v>2766</v>
      </c>
      <c r="AB567" s="13" t="s">
        <v>2654</v>
      </c>
      <c r="AC567" s="13" t="s">
        <v>2313</v>
      </c>
      <c r="AD567" s="13" t="s">
        <v>604</v>
      </c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</row>
    <row r="568" spans="1:40" ht="20.100000000000001" customHeight="1">
      <c r="A568" s="11">
        <v>567</v>
      </c>
      <c r="B568" s="12" t="s">
        <v>38</v>
      </c>
      <c r="C568" s="12" t="s">
        <v>38</v>
      </c>
      <c r="D568" s="13" t="s">
        <v>2312</v>
      </c>
      <c r="E568" s="11"/>
      <c r="F568" s="12"/>
      <c r="G568" s="13" t="str">
        <f>"9780813348865"</f>
        <v>9780813348865</v>
      </c>
      <c r="H568" s="13" t="s">
        <v>1676</v>
      </c>
      <c r="I568" s="11" t="s">
        <v>2777</v>
      </c>
      <c r="J568" s="11"/>
      <c r="K568" s="11"/>
      <c r="L568" s="11"/>
      <c r="M568" s="13" t="s">
        <v>2175</v>
      </c>
      <c r="N568" s="12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3" t="s">
        <v>2766</v>
      </c>
      <c r="AB568" s="13">
        <v>364</v>
      </c>
      <c r="AC568" s="13" t="s">
        <v>2318</v>
      </c>
      <c r="AD568" s="13" t="s">
        <v>605</v>
      </c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</row>
    <row r="569" spans="1:40" ht="20.100000000000001" customHeight="1">
      <c r="A569" s="11">
        <v>568</v>
      </c>
      <c r="B569" s="12" t="s">
        <v>38</v>
      </c>
      <c r="C569" s="12" t="s">
        <v>38</v>
      </c>
      <c r="D569" s="13" t="s">
        <v>2312</v>
      </c>
      <c r="E569" s="11"/>
      <c r="F569" s="12"/>
      <c r="G569" s="13" t="str">
        <f>"9781118780770"</f>
        <v>9781118780770</v>
      </c>
      <c r="H569" s="13" t="s">
        <v>1677</v>
      </c>
      <c r="I569" s="11" t="s">
        <v>2788</v>
      </c>
      <c r="J569" s="11"/>
      <c r="K569" s="11"/>
      <c r="L569" s="11"/>
      <c r="M569" s="13" t="s">
        <v>2176</v>
      </c>
      <c r="N569" s="12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3" t="s">
        <v>2766</v>
      </c>
      <c r="AB569" s="13">
        <v>616.85270000000003</v>
      </c>
      <c r="AC569" s="13" t="s">
        <v>2327</v>
      </c>
      <c r="AD569" s="13" t="s">
        <v>606</v>
      </c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</row>
    <row r="570" spans="1:40" ht="20.100000000000001" customHeight="1">
      <c r="A570" s="11">
        <v>569</v>
      </c>
      <c r="B570" s="12" t="s">
        <v>38</v>
      </c>
      <c r="C570" s="12" t="s">
        <v>38</v>
      </c>
      <c r="D570" s="13" t="s">
        <v>2312</v>
      </c>
      <c r="E570" s="11"/>
      <c r="F570" s="12"/>
      <c r="G570" s="13" t="str">
        <f>"9781118715628"</f>
        <v>9781118715628</v>
      </c>
      <c r="H570" s="13" t="s">
        <v>1678</v>
      </c>
      <c r="I570" s="11" t="s">
        <v>2788</v>
      </c>
      <c r="J570" s="11"/>
      <c r="K570" s="11"/>
      <c r="L570" s="11"/>
      <c r="M570" s="13" t="s">
        <v>2176</v>
      </c>
      <c r="N570" s="12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3" t="s">
        <v>2766</v>
      </c>
      <c r="AB570" s="13"/>
      <c r="AC570" s="13" t="s">
        <v>2328</v>
      </c>
      <c r="AD570" s="13" t="s">
        <v>607</v>
      </c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</row>
    <row r="571" spans="1:40" ht="20.100000000000001" customHeight="1">
      <c r="A571" s="11">
        <v>570</v>
      </c>
      <c r="B571" s="12" t="s">
        <v>38</v>
      </c>
      <c r="C571" s="12" t="s">
        <v>38</v>
      </c>
      <c r="D571" s="13" t="s">
        <v>2312</v>
      </c>
      <c r="E571" s="11"/>
      <c r="F571" s="12"/>
      <c r="G571" s="13" t="str">
        <f>"9781118588369"</f>
        <v>9781118588369</v>
      </c>
      <c r="H571" s="13" t="s">
        <v>1679</v>
      </c>
      <c r="I571" s="11" t="s">
        <v>2788</v>
      </c>
      <c r="J571" s="11"/>
      <c r="K571" s="11"/>
      <c r="L571" s="11"/>
      <c r="M571" s="13" t="s">
        <v>2176</v>
      </c>
      <c r="N571" s="12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3" t="s">
        <v>2766</v>
      </c>
      <c r="AB571" s="13">
        <v>791.43023309199998</v>
      </c>
      <c r="AC571" s="13" t="s">
        <v>2315</v>
      </c>
      <c r="AD571" s="13" t="s">
        <v>608</v>
      </c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</row>
    <row r="572" spans="1:40" ht="20.100000000000001" customHeight="1">
      <c r="A572" s="11">
        <v>571</v>
      </c>
      <c r="B572" s="12" t="s">
        <v>38</v>
      </c>
      <c r="C572" s="12" t="s">
        <v>38</v>
      </c>
      <c r="D572" s="13" t="s">
        <v>2312</v>
      </c>
      <c r="E572" s="11"/>
      <c r="F572" s="12"/>
      <c r="G572" s="13" t="str">
        <f>"9789401210973"</f>
        <v>9789401210973</v>
      </c>
      <c r="H572" s="13" t="s">
        <v>1680</v>
      </c>
      <c r="I572" s="11" t="s">
        <v>2788</v>
      </c>
      <c r="J572" s="11"/>
      <c r="K572" s="11"/>
      <c r="L572" s="11"/>
      <c r="M572" s="13" t="s">
        <v>2184</v>
      </c>
      <c r="N572" s="12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3" t="s">
        <v>2766</v>
      </c>
      <c r="AB572" s="13"/>
      <c r="AC572" s="13" t="s">
        <v>2329</v>
      </c>
      <c r="AD572" s="13" t="s">
        <v>609</v>
      </c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</row>
    <row r="573" spans="1:40" ht="20.100000000000001" customHeight="1">
      <c r="A573" s="11">
        <v>572</v>
      </c>
      <c r="B573" s="12" t="s">
        <v>38</v>
      </c>
      <c r="C573" s="12" t="s">
        <v>38</v>
      </c>
      <c r="D573" s="13" t="s">
        <v>2312</v>
      </c>
      <c r="E573" s="11"/>
      <c r="F573" s="12"/>
      <c r="G573" s="13" t="str">
        <f>"9781118635964"</f>
        <v>9781118635964</v>
      </c>
      <c r="H573" s="13" t="s">
        <v>1681</v>
      </c>
      <c r="I573" s="11" t="s">
        <v>2788</v>
      </c>
      <c r="J573" s="11"/>
      <c r="K573" s="11"/>
      <c r="L573" s="11"/>
      <c r="M573" s="13" t="s">
        <v>2176</v>
      </c>
      <c r="N573" s="12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3" t="s">
        <v>2766</v>
      </c>
      <c r="AB573" s="13">
        <v>808.02700000000004</v>
      </c>
      <c r="AC573" s="13" t="s">
        <v>2313</v>
      </c>
      <c r="AD573" s="13" t="s">
        <v>610</v>
      </c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</row>
    <row r="574" spans="1:40" ht="20.100000000000001" customHeight="1">
      <c r="A574" s="11">
        <v>573</v>
      </c>
      <c r="B574" s="12" t="s">
        <v>38</v>
      </c>
      <c r="C574" s="12" t="s">
        <v>38</v>
      </c>
      <c r="D574" s="13" t="s">
        <v>2312</v>
      </c>
      <c r="E574" s="11"/>
      <c r="F574" s="12"/>
      <c r="G574" s="13" t="str">
        <f>"9781118878187"</f>
        <v>9781118878187</v>
      </c>
      <c r="H574" s="13" t="s">
        <v>1682</v>
      </c>
      <c r="I574" s="11" t="s">
        <v>2788</v>
      </c>
      <c r="J574" s="11"/>
      <c r="K574" s="11"/>
      <c r="L574" s="11"/>
      <c r="M574" s="13" t="s">
        <v>2176</v>
      </c>
      <c r="N574" s="12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3" t="s">
        <v>2766</v>
      </c>
      <c r="AB574" s="13">
        <v>320.93799999999999</v>
      </c>
      <c r="AC574" s="13" t="s">
        <v>2329</v>
      </c>
      <c r="AD574" s="13" t="s">
        <v>611</v>
      </c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</row>
    <row r="575" spans="1:40" ht="20.100000000000001" customHeight="1">
      <c r="A575" s="11">
        <v>574</v>
      </c>
      <c r="B575" s="12" t="s">
        <v>38</v>
      </c>
      <c r="C575" s="12" t="s">
        <v>38</v>
      </c>
      <c r="D575" s="13" t="s">
        <v>2312</v>
      </c>
      <c r="E575" s="11"/>
      <c r="F575" s="12"/>
      <c r="G575" s="13" t="str">
        <f>"9781118338971"</f>
        <v>9781118338971</v>
      </c>
      <c r="H575" s="13" t="s">
        <v>1683</v>
      </c>
      <c r="I575" s="11" t="s">
        <v>2788</v>
      </c>
      <c r="J575" s="11"/>
      <c r="K575" s="11"/>
      <c r="L575" s="11"/>
      <c r="M575" s="13" t="s">
        <v>2176</v>
      </c>
      <c r="N575" s="12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3" t="s">
        <v>2766</v>
      </c>
      <c r="AB575" s="13" t="s">
        <v>2655</v>
      </c>
      <c r="AC575" s="13" t="s">
        <v>2317</v>
      </c>
      <c r="AD575" s="13" t="s">
        <v>612</v>
      </c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</row>
    <row r="576" spans="1:40" ht="20.100000000000001" customHeight="1">
      <c r="A576" s="11">
        <v>575</v>
      </c>
      <c r="B576" s="12" t="s">
        <v>38</v>
      </c>
      <c r="C576" s="12" t="s">
        <v>38</v>
      </c>
      <c r="D576" s="13" t="s">
        <v>2312</v>
      </c>
      <c r="E576" s="11"/>
      <c r="F576" s="12"/>
      <c r="G576" s="13" t="str">
        <f>"9781622753543"</f>
        <v>9781622753543</v>
      </c>
      <c r="H576" s="13" t="s">
        <v>1684</v>
      </c>
      <c r="I576" s="11" t="s">
        <v>2788</v>
      </c>
      <c r="J576" s="11"/>
      <c r="K576" s="11"/>
      <c r="L576" s="11"/>
      <c r="M576" s="13" t="s">
        <v>2191</v>
      </c>
      <c r="N576" s="12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3" t="s">
        <v>2766</v>
      </c>
      <c r="AB576" s="13" t="s">
        <v>2656</v>
      </c>
      <c r="AC576" s="13" t="s">
        <v>2355</v>
      </c>
      <c r="AD576" s="13" t="s">
        <v>613</v>
      </c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</row>
    <row r="577" spans="1:40" ht="20.100000000000001" customHeight="1">
      <c r="A577" s="11">
        <v>576</v>
      </c>
      <c r="B577" s="12" t="s">
        <v>38</v>
      </c>
      <c r="C577" s="12" t="s">
        <v>38</v>
      </c>
      <c r="D577" s="13" t="s">
        <v>2312</v>
      </c>
      <c r="E577" s="11"/>
      <c r="F577" s="12"/>
      <c r="G577" s="13" t="str">
        <f>"9781622753635"</f>
        <v>9781622753635</v>
      </c>
      <c r="H577" s="13" t="s">
        <v>1685</v>
      </c>
      <c r="I577" s="11" t="s">
        <v>2788</v>
      </c>
      <c r="J577" s="11"/>
      <c r="K577" s="11"/>
      <c r="L577" s="11"/>
      <c r="M577" s="13" t="s">
        <v>2191</v>
      </c>
      <c r="N577" s="12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3" t="s">
        <v>2766</v>
      </c>
      <c r="AB577" s="13">
        <v>305.8</v>
      </c>
      <c r="AC577" s="13" t="s">
        <v>2318</v>
      </c>
      <c r="AD577" s="13" t="s">
        <v>614</v>
      </c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</row>
    <row r="578" spans="1:40" ht="20.100000000000001" customHeight="1">
      <c r="A578" s="11">
        <v>577</v>
      </c>
      <c r="B578" s="12" t="s">
        <v>38</v>
      </c>
      <c r="C578" s="12" t="s">
        <v>38</v>
      </c>
      <c r="D578" s="13" t="s">
        <v>2312</v>
      </c>
      <c r="E578" s="11"/>
      <c r="F578" s="12"/>
      <c r="G578" s="13" t="str">
        <f>"9781622753604"</f>
        <v>9781622753604</v>
      </c>
      <c r="H578" s="13" t="s">
        <v>1686</v>
      </c>
      <c r="I578" s="11" t="s">
        <v>2788</v>
      </c>
      <c r="J578" s="11"/>
      <c r="K578" s="11"/>
      <c r="L578" s="11"/>
      <c r="M578" s="13" t="s">
        <v>2191</v>
      </c>
      <c r="N578" s="12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3" t="s">
        <v>2766</v>
      </c>
      <c r="AB578" s="13" t="s">
        <v>2657</v>
      </c>
      <c r="AC578" s="13" t="s">
        <v>2419</v>
      </c>
      <c r="AD578" s="13" t="s">
        <v>615</v>
      </c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</row>
    <row r="579" spans="1:40" ht="20.100000000000001" customHeight="1">
      <c r="A579" s="11">
        <v>578</v>
      </c>
      <c r="B579" s="12" t="s">
        <v>38</v>
      </c>
      <c r="C579" s="12" t="s">
        <v>38</v>
      </c>
      <c r="D579" s="13" t="s">
        <v>2312</v>
      </c>
      <c r="E579" s="11"/>
      <c r="F579" s="12"/>
      <c r="G579" s="13" t="str">
        <f>"9781622753574"</f>
        <v>9781622753574</v>
      </c>
      <c r="H579" s="13" t="s">
        <v>1687</v>
      </c>
      <c r="I579" s="11" t="s">
        <v>2788</v>
      </c>
      <c r="J579" s="11"/>
      <c r="K579" s="11"/>
      <c r="L579" s="11"/>
      <c r="M579" s="13" t="s">
        <v>2191</v>
      </c>
      <c r="N579" s="12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3" t="s">
        <v>2766</v>
      </c>
      <c r="AB579" s="13">
        <v>321.8</v>
      </c>
      <c r="AC579" s="13" t="s">
        <v>2329</v>
      </c>
      <c r="AD579" s="13" t="s">
        <v>616</v>
      </c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</row>
    <row r="580" spans="1:40" ht="20.100000000000001" customHeight="1">
      <c r="A580" s="11">
        <v>579</v>
      </c>
      <c r="B580" s="12" t="s">
        <v>38</v>
      </c>
      <c r="C580" s="12" t="s">
        <v>38</v>
      </c>
      <c r="D580" s="13" t="s">
        <v>2312</v>
      </c>
      <c r="E580" s="11"/>
      <c r="F580" s="12"/>
      <c r="G580" s="13" t="str">
        <f>"9781622753376"</f>
        <v>9781622753376</v>
      </c>
      <c r="H580" s="13" t="s">
        <v>1688</v>
      </c>
      <c r="I580" s="11" t="s">
        <v>2788</v>
      </c>
      <c r="J580" s="11"/>
      <c r="K580" s="11"/>
      <c r="L580" s="11"/>
      <c r="M580" s="13" t="s">
        <v>2191</v>
      </c>
      <c r="N580" s="12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3" t="s">
        <v>2766</v>
      </c>
      <c r="AB580" s="13">
        <v>335</v>
      </c>
      <c r="AC580" s="13" t="s">
        <v>2355</v>
      </c>
      <c r="AD580" s="13" t="s">
        <v>617</v>
      </c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</row>
    <row r="581" spans="1:40" ht="20.100000000000001" customHeight="1">
      <c r="A581" s="11">
        <v>580</v>
      </c>
      <c r="B581" s="12" t="s">
        <v>38</v>
      </c>
      <c r="C581" s="12" t="s">
        <v>38</v>
      </c>
      <c r="D581" s="13" t="s">
        <v>2312</v>
      </c>
      <c r="E581" s="11"/>
      <c r="F581" s="12"/>
      <c r="G581" s="13" t="str">
        <f>"9780199374106"</f>
        <v>9780199374106</v>
      </c>
      <c r="H581" s="13" t="s">
        <v>1689</v>
      </c>
      <c r="I581" s="11" t="s">
        <v>2788</v>
      </c>
      <c r="J581" s="11"/>
      <c r="K581" s="11"/>
      <c r="L581" s="11"/>
      <c r="M581" s="13" t="s">
        <v>2188</v>
      </c>
      <c r="N581" s="12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3" t="s">
        <v>2766</v>
      </c>
      <c r="AB581" s="13">
        <v>378.00972999999999</v>
      </c>
      <c r="AC581" s="13" t="s">
        <v>2349</v>
      </c>
      <c r="AD581" s="13" t="s">
        <v>618</v>
      </c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</row>
    <row r="582" spans="1:40" ht="20.100000000000001" customHeight="1">
      <c r="A582" s="11">
        <v>581</v>
      </c>
      <c r="B582" s="12" t="s">
        <v>38</v>
      </c>
      <c r="C582" s="12" t="s">
        <v>38</v>
      </c>
      <c r="D582" s="13" t="s">
        <v>2312</v>
      </c>
      <c r="E582" s="11"/>
      <c r="F582" s="12"/>
      <c r="G582" s="13" t="str">
        <f>"9780813562483"</f>
        <v>9780813562483</v>
      </c>
      <c r="H582" s="13" t="s">
        <v>1690</v>
      </c>
      <c r="I582" s="11" t="s">
        <v>2788</v>
      </c>
      <c r="J582" s="11"/>
      <c r="K582" s="11"/>
      <c r="L582" s="11"/>
      <c r="M582" s="13" t="s">
        <v>2213</v>
      </c>
      <c r="N582" s="12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3" t="s">
        <v>2766</v>
      </c>
      <c r="AB582" s="13">
        <v>362.101</v>
      </c>
      <c r="AC582" s="13" t="s">
        <v>2408</v>
      </c>
      <c r="AD582" s="13" t="s">
        <v>619</v>
      </c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</row>
    <row r="583" spans="1:40" ht="20.100000000000001" customHeight="1">
      <c r="A583" s="11">
        <v>582</v>
      </c>
      <c r="B583" s="12" t="s">
        <v>38</v>
      </c>
      <c r="C583" s="12" t="s">
        <v>38</v>
      </c>
      <c r="D583" s="13" t="s">
        <v>2312</v>
      </c>
      <c r="E583" s="11"/>
      <c r="F583" s="12"/>
      <c r="G583" s="13" t="str">
        <f>"9781118741924"</f>
        <v>9781118741924</v>
      </c>
      <c r="H583" s="13" t="s">
        <v>1691</v>
      </c>
      <c r="I583" s="11" t="s">
        <v>2788</v>
      </c>
      <c r="J583" s="11"/>
      <c r="K583" s="11"/>
      <c r="L583" s="11"/>
      <c r="M583" s="13" t="s">
        <v>2176</v>
      </c>
      <c r="N583" s="12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3" t="s">
        <v>2766</v>
      </c>
      <c r="AB583" s="13" t="s">
        <v>2658</v>
      </c>
      <c r="AC583" s="13" t="s">
        <v>2328</v>
      </c>
      <c r="AD583" s="13" t="s">
        <v>620</v>
      </c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</row>
    <row r="584" spans="1:40" ht="20.100000000000001" customHeight="1">
      <c r="A584" s="11">
        <v>583</v>
      </c>
      <c r="B584" s="12" t="s">
        <v>38</v>
      </c>
      <c r="C584" s="12" t="s">
        <v>38</v>
      </c>
      <c r="D584" s="13" t="s">
        <v>2312</v>
      </c>
      <c r="E584" s="11"/>
      <c r="F584" s="12"/>
      <c r="G584" s="13" t="str">
        <f>"9781480403604"</f>
        <v>9781480403604</v>
      </c>
      <c r="H584" s="13" t="s">
        <v>1692</v>
      </c>
      <c r="I584" s="11" t="s">
        <v>2785</v>
      </c>
      <c r="J584" s="11"/>
      <c r="K584" s="11"/>
      <c r="L584" s="11"/>
      <c r="M584" s="13" t="s">
        <v>2214</v>
      </c>
      <c r="N584" s="12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3" t="s">
        <v>2766</v>
      </c>
      <c r="AB584" s="13">
        <v>292.13029999999998</v>
      </c>
      <c r="AC584" s="13" t="s">
        <v>2323</v>
      </c>
      <c r="AD584" s="13" t="s">
        <v>621</v>
      </c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</row>
    <row r="585" spans="1:40" ht="20.100000000000001" customHeight="1">
      <c r="A585" s="11">
        <v>584</v>
      </c>
      <c r="B585" s="12" t="s">
        <v>38</v>
      </c>
      <c r="C585" s="12" t="s">
        <v>38</v>
      </c>
      <c r="D585" s="13" t="s">
        <v>2312</v>
      </c>
      <c r="E585" s="11"/>
      <c r="F585" s="12"/>
      <c r="G585" s="13" t="str">
        <f>"9780786427062"</f>
        <v>9780786427062</v>
      </c>
      <c r="H585" s="13" t="s">
        <v>1693</v>
      </c>
      <c r="I585" s="11" t="s">
        <v>2771</v>
      </c>
      <c r="J585" s="11"/>
      <c r="K585" s="11"/>
      <c r="L585" s="11"/>
      <c r="M585" s="13" t="s">
        <v>2187</v>
      </c>
      <c r="N585" s="12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3" t="s">
        <v>2766</v>
      </c>
      <c r="AB585" s="13" t="s">
        <v>2659</v>
      </c>
      <c r="AC585" s="13" t="s">
        <v>2313</v>
      </c>
      <c r="AD585" s="13" t="s">
        <v>622</v>
      </c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</row>
    <row r="586" spans="1:40" ht="20.100000000000001" customHeight="1">
      <c r="A586" s="11">
        <v>585</v>
      </c>
      <c r="B586" s="12" t="s">
        <v>38</v>
      </c>
      <c r="C586" s="12" t="s">
        <v>38</v>
      </c>
      <c r="D586" s="13" t="s">
        <v>2312</v>
      </c>
      <c r="E586" s="11"/>
      <c r="F586" s="12"/>
      <c r="G586" s="13" t="str">
        <f>"9780199368440"</f>
        <v>9780199368440</v>
      </c>
      <c r="H586" s="13" t="s">
        <v>1694</v>
      </c>
      <c r="I586" s="11" t="s">
        <v>2788</v>
      </c>
      <c r="J586" s="11"/>
      <c r="K586" s="11"/>
      <c r="L586" s="11"/>
      <c r="M586" s="13" t="s">
        <v>2188</v>
      </c>
      <c r="N586" s="12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3" t="s">
        <v>2766</v>
      </c>
      <c r="AB586" s="13">
        <v>641.29999999999995</v>
      </c>
      <c r="AC586" s="13" t="s">
        <v>2443</v>
      </c>
      <c r="AD586" s="13" t="s">
        <v>623</v>
      </c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</row>
    <row r="587" spans="1:40" ht="20.100000000000001" customHeight="1">
      <c r="A587" s="11">
        <v>586</v>
      </c>
      <c r="B587" s="12" t="s">
        <v>38</v>
      </c>
      <c r="C587" s="12" t="s">
        <v>38</v>
      </c>
      <c r="D587" s="13" t="s">
        <v>2312</v>
      </c>
      <c r="E587" s="11"/>
      <c r="F587" s="12"/>
      <c r="G587" s="13" t="str">
        <f>"9781118944028"</f>
        <v>9781118944028</v>
      </c>
      <c r="H587" s="13" t="s">
        <v>1695</v>
      </c>
      <c r="I587" s="11" t="s">
        <v>2788</v>
      </c>
      <c r="J587" s="11"/>
      <c r="K587" s="11"/>
      <c r="L587" s="11"/>
      <c r="M587" s="13" t="s">
        <v>2176</v>
      </c>
      <c r="N587" s="12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3" t="s">
        <v>2766</v>
      </c>
      <c r="AB587" s="13" t="s">
        <v>2660</v>
      </c>
      <c r="AC587" s="13" t="s">
        <v>2340</v>
      </c>
      <c r="AD587" s="13" t="s">
        <v>624</v>
      </c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</row>
    <row r="588" spans="1:40" ht="20.100000000000001" customHeight="1">
      <c r="A588" s="11">
        <v>587</v>
      </c>
      <c r="B588" s="12" t="s">
        <v>38</v>
      </c>
      <c r="C588" s="12" t="s">
        <v>38</v>
      </c>
      <c r="D588" s="13" t="s">
        <v>2312</v>
      </c>
      <c r="E588" s="11"/>
      <c r="F588" s="12"/>
      <c r="G588" s="13" t="str">
        <f>"9780199996704"</f>
        <v>9780199996704</v>
      </c>
      <c r="H588" s="13" t="s">
        <v>1696</v>
      </c>
      <c r="I588" s="11" t="s">
        <v>2788</v>
      </c>
      <c r="J588" s="11"/>
      <c r="K588" s="11"/>
      <c r="L588" s="11"/>
      <c r="M588" s="13" t="s">
        <v>2188</v>
      </c>
      <c r="N588" s="12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3" t="s">
        <v>2766</v>
      </c>
      <c r="AB588" s="13">
        <v>577.72699999999998</v>
      </c>
      <c r="AC588" s="13" t="s">
        <v>2444</v>
      </c>
      <c r="AD588" s="13" t="s">
        <v>625</v>
      </c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</row>
    <row r="589" spans="1:40" ht="20.100000000000001" customHeight="1">
      <c r="A589" s="11">
        <v>588</v>
      </c>
      <c r="B589" s="12" t="s">
        <v>38</v>
      </c>
      <c r="C589" s="12" t="s">
        <v>38</v>
      </c>
      <c r="D589" s="13" t="s">
        <v>2312</v>
      </c>
      <c r="E589" s="11"/>
      <c r="F589" s="12"/>
      <c r="G589" s="13" t="str">
        <f>"9781118592595"</f>
        <v>9781118592595</v>
      </c>
      <c r="H589" s="13" t="s">
        <v>1697</v>
      </c>
      <c r="I589" s="11" t="s">
        <v>2788</v>
      </c>
      <c r="J589" s="11"/>
      <c r="K589" s="11"/>
      <c r="L589" s="11"/>
      <c r="M589" s="13" t="s">
        <v>2176</v>
      </c>
      <c r="N589" s="12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3" t="s">
        <v>2766</v>
      </c>
      <c r="AB589" s="13" t="s">
        <v>2661</v>
      </c>
      <c r="AC589" s="13" t="s">
        <v>2328</v>
      </c>
      <c r="AD589" s="13" t="s">
        <v>626</v>
      </c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</row>
    <row r="590" spans="1:40" ht="20.100000000000001" customHeight="1">
      <c r="A590" s="11">
        <v>589</v>
      </c>
      <c r="B590" s="12" t="s">
        <v>38</v>
      </c>
      <c r="C590" s="12" t="s">
        <v>38</v>
      </c>
      <c r="D590" s="13" t="s">
        <v>2312</v>
      </c>
      <c r="E590" s="11"/>
      <c r="F590" s="12"/>
      <c r="G590" s="13" t="str">
        <f>"9781118719749"</f>
        <v>9781118719749</v>
      </c>
      <c r="H590" s="13" t="s">
        <v>1698</v>
      </c>
      <c r="I590" s="11" t="s">
        <v>2788</v>
      </c>
      <c r="J590" s="11"/>
      <c r="K590" s="11"/>
      <c r="L590" s="11"/>
      <c r="M590" s="13" t="s">
        <v>2176</v>
      </c>
      <c r="N590" s="12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3" t="s">
        <v>2766</v>
      </c>
      <c r="AB590" s="13"/>
      <c r="AC590" s="13" t="s">
        <v>2328</v>
      </c>
      <c r="AD590" s="13" t="s">
        <v>627</v>
      </c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</row>
    <row r="591" spans="1:40" ht="20.100000000000001" customHeight="1">
      <c r="A591" s="11">
        <v>590</v>
      </c>
      <c r="B591" s="12" t="s">
        <v>38</v>
      </c>
      <c r="C591" s="12" t="s">
        <v>38</v>
      </c>
      <c r="D591" s="13" t="s">
        <v>2312</v>
      </c>
      <c r="E591" s="11"/>
      <c r="F591" s="12"/>
      <c r="G591" s="13" t="str">
        <f>"9781607422891"</f>
        <v>9781607422891</v>
      </c>
      <c r="H591" s="13" t="s">
        <v>1699</v>
      </c>
      <c r="I591" s="11" t="s">
        <v>2784</v>
      </c>
      <c r="J591" s="11"/>
      <c r="K591" s="11"/>
      <c r="L591" s="11"/>
      <c r="M591" s="13" t="s">
        <v>2215</v>
      </c>
      <c r="N591" s="12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3" t="s">
        <v>2766</v>
      </c>
      <c r="AB591" s="13">
        <v>270</v>
      </c>
      <c r="AC591" s="13" t="s">
        <v>2323</v>
      </c>
      <c r="AD591" s="13" t="s">
        <v>628</v>
      </c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</row>
    <row r="592" spans="1:40" ht="20.100000000000001" customHeight="1">
      <c r="A592" s="11">
        <v>591</v>
      </c>
      <c r="B592" s="12" t="s">
        <v>38</v>
      </c>
      <c r="C592" s="12" t="s">
        <v>38</v>
      </c>
      <c r="D592" s="13" t="s">
        <v>2312</v>
      </c>
      <c r="E592" s="11"/>
      <c r="F592" s="12"/>
      <c r="G592" s="13" t="str">
        <f>"9781780676371"</f>
        <v>9781780676371</v>
      </c>
      <c r="H592" s="13" t="s">
        <v>1700</v>
      </c>
      <c r="I592" s="11" t="s">
        <v>2788</v>
      </c>
      <c r="J592" s="11"/>
      <c r="K592" s="11"/>
      <c r="L592" s="11"/>
      <c r="M592" s="13" t="s">
        <v>2216</v>
      </c>
      <c r="N592" s="12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3" t="s">
        <v>2766</v>
      </c>
      <c r="AB592" s="13">
        <v>720.9</v>
      </c>
      <c r="AC592" s="13" t="s">
        <v>2445</v>
      </c>
      <c r="AD592" s="13" t="s">
        <v>629</v>
      </c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</row>
    <row r="593" spans="1:40" ht="20.100000000000001" customHeight="1">
      <c r="A593" s="11">
        <v>592</v>
      </c>
      <c r="B593" s="12" t="s">
        <v>38</v>
      </c>
      <c r="C593" s="12" t="s">
        <v>38</v>
      </c>
      <c r="D593" s="13" t="s">
        <v>2312</v>
      </c>
      <c r="E593" s="11"/>
      <c r="F593" s="12"/>
      <c r="G593" s="13" t="str">
        <f>"9789004284104"</f>
        <v>9789004284104</v>
      </c>
      <c r="H593" s="13" t="s">
        <v>1701</v>
      </c>
      <c r="I593" s="11" t="s">
        <v>2788</v>
      </c>
      <c r="J593" s="11"/>
      <c r="K593" s="11"/>
      <c r="L593" s="11"/>
      <c r="M593" s="13" t="s">
        <v>2184</v>
      </c>
      <c r="N593" s="12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3" t="s">
        <v>2766</v>
      </c>
      <c r="AB593" s="13" t="s">
        <v>2662</v>
      </c>
      <c r="AC593" s="13" t="s">
        <v>2317</v>
      </c>
      <c r="AD593" s="13" t="s">
        <v>630</v>
      </c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</row>
    <row r="594" spans="1:40" ht="20.100000000000001" customHeight="1">
      <c r="A594" s="11">
        <v>593</v>
      </c>
      <c r="B594" s="12" t="s">
        <v>38</v>
      </c>
      <c r="C594" s="12" t="s">
        <v>38</v>
      </c>
      <c r="D594" s="13" t="s">
        <v>2312</v>
      </c>
      <c r="E594" s="11"/>
      <c r="F594" s="12"/>
      <c r="G594" s="13" t="str">
        <f>"9781476606651"</f>
        <v>9781476606651</v>
      </c>
      <c r="H594" s="13" t="s">
        <v>1702</v>
      </c>
      <c r="I594" s="11" t="s">
        <v>2777</v>
      </c>
      <c r="J594" s="11"/>
      <c r="K594" s="11"/>
      <c r="L594" s="11"/>
      <c r="M594" s="13" t="s">
        <v>2187</v>
      </c>
      <c r="N594" s="12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3" t="s">
        <v>2766</v>
      </c>
      <c r="AB594" s="13" t="s">
        <v>2663</v>
      </c>
      <c r="AC594" s="13" t="s">
        <v>2338</v>
      </c>
      <c r="AD594" s="13" t="s">
        <v>631</v>
      </c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</row>
    <row r="595" spans="1:40" ht="20.100000000000001" customHeight="1">
      <c r="A595" s="11">
        <v>594</v>
      </c>
      <c r="B595" s="12" t="s">
        <v>38</v>
      </c>
      <c r="C595" s="12" t="s">
        <v>38</v>
      </c>
      <c r="D595" s="13" t="s">
        <v>2312</v>
      </c>
      <c r="E595" s="11"/>
      <c r="F595" s="12"/>
      <c r="G595" s="13" t="str">
        <f>"9781119026501"</f>
        <v>9781119026501</v>
      </c>
      <c r="H595" s="13" t="s">
        <v>1703</v>
      </c>
      <c r="I595" s="11" t="s">
        <v>2788</v>
      </c>
      <c r="J595" s="11"/>
      <c r="K595" s="11"/>
      <c r="L595" s="11"/>
      <c r="M595" s="13" t="s">
        <v>2217</v>
      </c>
      <c r="N595" s="12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3" t="s">
        <v>2766</v>
      </c>
      <c r="AB595" s="13"/>
      <c r="AC595" s="13" t="s">
        <v>2327</v>
      </c>
      <c r="AD595" s="13" t="s">
        <v>632</v>
      </c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</row>
    <row r="596" spans="1:40" ht="20.100000000000001" customHeight="1">
      <c r="A596" s="11">
        <v>595</v>
      </c>
      <c r="B596" s="12" t="s">
        <v>38</v>
      </c>
      <c r="C596" s="12" t="s">
        <v>38</v>
      </c>
      <c r="D596" s="13" t="s">
        <v>2312</v>
      </c>
      <c r="E596" s="11"/>
      <c r="F596" s="12"/>
      <c r="G596" s="13" t="str">
        <f>"9781597565738"</f>
        <v>9781597565738</v>
      </c>
      <c r="H596" s="13" t="s">
        <v>1704</v>
      </c>
      <c r="I596" s="11" t="s">
        <v>2786</v>
      </c>
      <c r="J596" s="11"/>
      <c r="K596" s="11"/>
      <c r="L596" s="11"/>
      <c r="M596" s="13" t="s">
        <v>2218</v>
      </c>
      <c r="N596" s="12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3" t="s">
        <v>2766</v>
      </c>
      <c r="AB596" s="13" t="s">
        <v>2664</v>
      </c>
      <c r="AC596" s="13" t="s">
        <v>2328</v>
      </c>
      <c r="AD596" s="13" t="s">
        <v>633</v>
      </c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</row>
    <row r="597" spans="1:40" ht="20.100000000000001" customHeight="1">
      <c r="A597" s="11">
        <v>596</v>
      </c>
      <c r="B597" s="12" t="s">
        <v>38</v>
      </c>
      <c r="C597" s="12" t="s">
        <v>38</v>
      </c>
      <c r="D597" s="13" t="s">
        <v>2312</v>
      </c>
      <c r="E597" s="11"/>
      <c r="F597" s="12"/>
      <c r="G597" s="13" t="str">
        <f>"9781118335741"</f>
        <v>9781118335741</v>
      </c>
      <c r="H597" s="13" t="s">
        <v>1705</v>
      </c>
      <c r="I597" s="11" t="s">
        <v>2789</v>
      </c>
      <c r="J597" s="11"/>
      <c r="K597" s="11"/>
      <c r="L597" s="11"/>
      <c r="M597" s="13" t="s">
        <v>2176</v>
      </c>
      <c r="N597" s="12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3" t="s">
        <v>2766</v>
      </c>
      <c r="AB597" s="13" t="s">
        <v>2665</v>
      </c>
      <c r="AC597" s="13" t="s">
        <v>2362</v>
      </c>
      <c r="AD597" s="13" t="s">
        <v>634</v>
      </c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</row>
    <row r="598" spans="1:40" ht="20.100000000000001" customHeight="1">
      <c r="A598" s="11">
        <v>597</v>
      </c>
      <c r="B598" s="12" t="s">
        <v>38</v>
      </c>
      <c r="C598" s="12" t="s">
        <v>38</v>
      </c>
      <c r="D598" s="13" t="s">
        <v>2312</v>
      </c>
      <c r="E598" s="11"/>
      <c r="F598" s="12"/>
      <c r="G598" s="13" t="str">
        <f>"9781118772010"</f>
        <v>9781118772010</v>
      </c>
      <c r="H598" s="13" t="s">
        <v>1706</v>
      </c>
      <c r="I598" s="11" t="s">
        <v>2789</v>
      </c>
      <c r="J598" s="11"/>
      <c r="K598" s="11"/>
      <c r="L598" s="11"/>
      <c r="M598" s="13" t="s">
        <v>2176</v>
      </c>
      <c r="N598" s="12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3" t="s">
        <v>2766</v>
      </c>
      <c r="AB598" s="13"/>
      <c r="AC598" s="13" t="s">
        <v>2318</v>
      </c>
      <c r="AD598" s="13" t="s">
        <v>635</v>
      </c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</row>
    <row r="599" spans="1:40" ht="20.100000000000001" customHeight="1">
      <c r="A599" s="11">
        <v>598</v>
      </c>
      <c r="B599" s="12" t="s">
        <v>38</v>
      </c>
      <c r="C599" s="12" t="s">
        <v>38</v>
      </c>
      <c r="D599" s="13" t="s">
        <v>2312</v>
      </c>
      <c r="E599" s="11"/>
      <c r="F599" s="12"/>
      <c r="G599" s="13" t="str">
        <f>"9781118486641"</f>
        <v>9781118486641</v>
      </c>
      <c r="H599" s="13" t="s">
        <v>1707</v>
      </c>
      <c r="I599" s="11" t="s">
        <v>2789</v>
      </c>
      <c r="J599" s="11"/>
      <c r="K599" s="11"/>
      <c r="L599" s="11"/>
      <c r="M599" s="13" t="s">
        <v>2176</v>
      </c>
      <c r="N599" s="12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3" t="s">
        <v>2766</v>
      </c>
      <c r="AB599" s="13" t="s">
        <v>2666</v>
      </c>
      <c r="AC599" s="13" t="s">
        <v>2446</v>
      </c>
      <c r="AD599" s="13" t="s">
        <v>636</v>
      </c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</row>
    <row r="600" spans="1:40" ht="20.100000000000001" customHeight="1">
      <c r="A600" s="11">
        <v>599</v>
      </c>
      <c r="B600" s="12" t="s">
        <v>38</v>
      </c>
      <c r="C600" s="12" t="s">
        <v>38</v>
      </c>
      <c r="D600" s="13" t="s">
        <v>2312</v>
      </c>
      <c r="E600" s="11"/>
      <c r="F600" s="12"/>
      <c r="G600" s="13" t="str">
        <f>"9781118533475"</f>
        <v>9781118533475</v>
      </c>
      <c r="H600" s="13" t="s">
        <v>1708</v>
      </c>
      <c r="I600" s="11" t="s">
        <v>2789</v>
      </c>
      <c r="J600" s="11"/>
      <c r="K600" s="11"/>
      <c r="L600" s="11"/>
      <c r="M600" s="13" t="s">
        <v>2176</v>
      </c>
      <c r="N600" s="12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3" t="s">
        <v>2766</v>
      </c>
      <c r="AB600" s="13" t="s">
        <v>2667</v>
      </c>
      <c r="AC600" s="13" t="s">
        <v>2345</v>
      </c>
      <c r="AD600" s="13" t="s">
        <v>637</v>
      </c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</row>
    <row r="601" spans="1:40" ht="20.100000000000001" customHeight="1">
      <c r="A601" s="11">
        <v>600</v>
      </c>
      <c r="B601" s="12" t="s">
        <v>38</v>
      </c>
      <c r="C601" s="12" t="s">
        <v>38</v>
      </c>
      <c r="D601" s="13" t="s">
        <v>2312</v>
      </c>
      <c r="E601" s="11"/>
      <c r="F601" s="12"/>
      <c r="G601" s="13" t="str">
        <f>"9781118607923"</f>
        <v>9781118607923</v>
      </c>
      <c r="H601" s="13" t="s">
        <v>1709</v>
      </c>
      <c r="I601" s="11" t="s">
        <v>2789</v>
      </c>
      <c r="J601" s="11"/>
      <c r="K601" s="11"/>
      <c r="L601" s="11"/>
      <c r="M601" s="13" t="s">
        <v>2176</v>
      </c>
      <c r="N601" s="12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3" t="s">
        <v>2766</v>
      </c>
      <c r="AB601" s="13">
        <v>973.92709200000002</v>
      </c>
      <c r="AC601" s="13" t="s">
        <v>2317</v>
      </c>
      <c r="AD601" s="13" t="s">
        <v>638</v>
      </c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</row>
    <row r="602" spans="1:40" ht="20.100000000000001" customHeight="1">
      <c r="A602" s="11">
        <v>601</v>
      </c>
      <c r="B602" s="12" t="s">
        <v>38</v>
      </c>
      <c r="C602" s="12" t="s">
        <v>38</v>
      </c>
      <c r="D602" s="13" t="s">
        <v>2312</v>
      </c>
      <c r="E602" s="11"/>
      <c r="F602" s="12"/>
      <c r="G602" s="13" t="str">
        <f>"9781118789315"</f>
        <v>9781118789315</v>
      </c>
      <c r="H602" s="13" t="s">
        <v>1710</v>
      </c>
      <c r="I602" s="11" t="s">
        <v>2789</v>
      </c>
      <c r="J602" s="11"/>
      <c r="K602" s="11"/>
      <c r="L602" s="11"/>
      <c r="M602" s="13" t="s">
        <v>2176</v>
      </c>
      <c r="N602" s="12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3" t="s">
        <v>2766</v>
      </c>
      <c r="AB602" s="13" t="s">
        <v>2668</v>
      </c>
      <c r="AC602" s="13" t="s">
        <v>2318</v>
      </c>
      <c r="AD602" s="13" t="s">
        <v>639</v>
      </c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</row>
    <row r="603" spans="1:40" ht="20.100000000000001" customHeight="1">
      <c r="A603" s="11">
        <v>602</v>
      </c>
      <c r="B603" s="12" t="s">
        <v>38</v>
      </c>
      <c r="C603" s="12" t="s">
        <v>38</v>
      </c>
      <c r="D603" s="13" t="s">
        <v>2312</v>
      </c>
      <c r="E603" s="11"/>
      <c r="F603" s="12"/>
      <c r="G603" s="13" t="str">
        <f>"9781118841631"</f>
        <v>9781118841631</v>
      </c>
      <c r="H603" s="13" t="s">
        <v>1711</v>
      </c>
      <c r="I603" s="11" t="s">
        <v>2789</v>
      </c>
      <c r="J603" s="11"/>
      <c r="K603" s="11"/>
      <c r="L603" s="11"/>
      <c r="M603" s="13" t="s">
        <v>2176</v>
      </c>
      <c r="N603" s="12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3" t="s">
        <v>2766</v>
      </c>
      <c r="AB603" s="13" t="s">
        <v>2669</v>
      </c>
      <c r="AC603" s="13" t="s">
        <v>2314</v>
      </c>
      <c r="AD603" s="13" t="s">
        <v>640</v>
      </c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</row>
    <row r="604" spans="1:40" ht="20.100000000000001" customHeight="1">
      <c r="A604" s="11">
        <v>603</v>
      </c>
      <c r="B604" s="12" t="s">
        <v>38</v>
      </c>
      <c r="C604" s="12" t="s">
        <v>38</v>
      </c>
      <c r="D604" s="13" t="s">
        <v>2312</v>
      </c>
      <c r="E604" s="11"/>
      <c r="F604" s="12"/>
      <c r="G604" s="13" t="str">
        <f>"9781118884447"</f>
        <v>9781118884447</v>
      </c>
      <c r="H604" s="13" t="s">
        <v>1712</v>
      </c>
      <c r="I604" s="11" t="s">
        <v>2789</v>
      </c>
      <c r="J604" s="11"/>
      <c r="K604" s="11"/>
      <c r="L604" s="11"/>
      <c r="M604" s="13" t="s">
        <v>2176</v>
      </c>
      <c r="N604" s="12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3" t="s">
        <v>2766</v>
      </c>
      <c r="AB604" s="13"/>
      <c r="AC604" s="13" t="s">
        <v>2315</v>
      </c>
      <c r="AD604" s="13" t="s">
        <v>641</v>
      </c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</row>
    <row r="605" spans="1:40" ht="20.100000000000001" customHeight="1">
      <c r="A605" s="11">
        <v>604</v>
      </c>
      <c r="B605" s="12" t="s">
        <v>38</v>
      </c>
      <c r="C605" s="12" t="s">
        <v>38</v>
      </c>
      <c r="D605" s="13" t="s">
        <v>2312</v>
      </c>
      <c r="E605" s="11"/>
      <c r="F605" s="12"/>
      <c r="G605" s="13" t="str">
        <f>"9781118885888"</f>
        <v>9781118885888</v>
      </c>
      <c r="H605" s="13" t="s">
        <v>1713</v>
      </c>
      <c r="I605" s="11" t="s">
        <v>2789</v>
      </c>
      <c r="J605" s="11"/>
      <c r="K605" s="11"/>
      <c r="L605" s="11"/>
      <c r="M605" s="13" t="s">
        <v>2176</v>
      </c>
      <c r="N605" s="12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3" t="s">
        <v>2766</v>
      </c>
      <c r="AB605" s="13"/>
      <c r="AC605" s="13" t="s">
        <v>2323</v>
      </c>
      <c r="AD605" s="13" t="s">
        <v>642</v>
      </c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</row>
    <row r="606" spans="1:40" ht="20.100000000000001" customHeight="1">
      <c r="A606" s="11">
        <v>605</v>
      </c>
      <c r="B606" s="12" t="s">
        <v>38</v>
      </c>
      <c r="C606" s="12" t="s">
        <v>38</v>
      </c>
      <c r="D606" s="13" t="s">
        <v>2312</v>
      </c>
      <c r="E606" s="11"/>
      <c r="F606" s="12"/>
      <c r="G606" s="13" t="str">
        <f>"9781118952979"</f>
        <v>9781118952979</v>
      </c>
      <c r="H606" s="13" t="s">
        <v>1714</v>
      </c>
      <c r="I606" s="11" t="s">
        <v>2789</v>
      </c>
      <c r="J606" s="11"/>
      <c r="K606" s="11"/>
      <c r="L606" s="11"/>
      <c r="M606" s="13" t="s">
        <v>2176</v>
      </c>
      <c r="N606" s="12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3" t="s">
        <v>2766</v>
      </c>
      <c r="AB606" s="13">
        <v>155.4</v>
      </c>
      <c r="AC606" s="13" t="s">
        <v>2346</v>
      </c>
      <c r="AD606" s="13" t="s">
        <v>643</v>
      </c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</row>
    <row r="607" spans="1:40" ht="20.100000000000001" customHeight="1">
      <c r="A607" s="11">
        <v>606</v>
      </c>
      <c r="B607" s="12" t="s">
        <v>38</v>
      </c>
      <c r="C607" s="12" t="s">
        <v>38</v>
      </c>
      <c r="D607" s="13" t="s">
        <v>2312</v>
      </c>
      <c r="E607" s="11"/>
      <c r="F607" s="12"/>
      <c r="G607" s="13" t="str">
        <f>"9781118953846"</f>
        <v>9781118953846</v>
      </c>
      <c r="H607" s="13" t="s">
        <v>1715</v>
      </c>
      <c r="I607" s="11" t="s">
        <v>2789</v>
      </c>
      <c r="J607" s="11"/>
      <c r="K607" s="11"/>
      <c r="L607" s="11"/>
      <c r="M607" s="13" t="s">
        <v>2176</v>
      </c>
      <c r="N607" s="12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3" t="s">
        <v>2766</v>
      </c>
      <c r="AB607" s="13"/>
      <c r="AC607" s="13" t="s">
        <v>2346</v>
      </c>
      <c r="AD607" s="13" t="s">
        <v>644</v>
      </c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</row>
    <row r="608" spans="1:40" ht="20.100000000000001" customHeight="1">
      <c r="A608" s="11">
        <v>607</v>
      </c>
      <c r="B608" s="12" t="s">
        <v>38</v>
      </c>
      <c r="C608" s="12" t="s">
        <v>38</v>
      </c>
      <c r="D608" s="13" t="s">
        <v>2312</v>
      </c>
      <c r="E608" s="11"/>
      <c r="F608" s="12"/>
      <c r="G608" s="13" t="str">
        <f>"9781118953877"</f>
        <v>9781118953877</v>
      </c>
      <c r="H608" s="13" t="s">
        <v>1716</v>
      </c>
      <c r="I608" s="11" t="s">
        <v>2789</v>
      </c>
      <c r="J608" s="11"/>
      <c r="K608" s="11"/>
      <c r="L608" s="11"/>
      <c r="M608" s="13" t="s">
        <v>2176</v>
      </c>
      <c r="N608" s="12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3" t="s">
        <v>2766</v>
      </c>
      <c r="AB608" s="13"/>
      <c r="AC608" s="13" t="s">
        <v>2346</v>
      </c>
      <c r="AD608" s="13" t="s">
        <v>645</v>
      </c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</row>
    <row r="609" spans="1:40" ht="20.100000000000001" customHeight="1">
      <c r="A609" s="11">
        <v>608</v>
      </c>
      <c r="B609" s="12" t="s">
        <v>38</v>
      </c>
      <c r="C609" s="12" t="s">
        <v>38</v>
      </c>
      <c r="D609" s="13" t="s">
        <v>2312</v>
      </c>
      <c r="E609" s="11"/>
      <c r="F609" s="12"/>
      <c r="G609" s="13" t="str">
        <f>"9781118953914"</f>
        <v>9781118953914</v>
      </c>
      <c r="H609" s="13" t="s">
        <v>1717</v>
      </c>
      <c r="I609" s="11" t="s">
        <v>2789</v>
      </c>
      <c r="J609" s="11"/>
      <c r="K609" s="11"/>
      <c r="L609" s="11"/>
      <c r="M609" s="13" t="s">
        <v>2176</v>
      </c>
      <c r="N609" s="12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3" t="s">
        <v>2766</v>
      </c>
      <c r="AB609" s="13">
        <v>155.4</v>
      </c>
      <c r="AC609" s="13" t="s">
        <v>2346</v>
      </c>
      <c r="AD609" s="13" t="s">
        <v>646</v>
      </c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</row>
    <row r="610" spans="1:40" ht="20.100000000000001" customHeight="1">
      <c r="A610" s="11">
        <v>609</v>
      </c>
      <c r="B610" s="12" t="s">
        <v>38</v>
      </c>
      <c r="C610" s="12" t="s">
        <v>38</v>
      </c>
      <c r="D610" s="13" t="s">
        <v>2312</v>
      </c>
      <c r="E610" s="11"/>
      <c r="F610" s="12"/>
      <c r="G610" s="13" t="str">
        <f>"9781119049166"</f>
        <v>9781119049166</v>
      </c>
      <c r="H610" s="13" t="s">
        <v>1718</v>
      </c>
      <c r="I610" s="11" t="s">
        <v>2789</v>
      </c>
      <c r="J610" s="11"/>
      <c r="K610" s="11"/>
      <c r="L610" s="11"/>
      <c r="M610" s="13" t="s">
        <v>2176</v>
      </c>
      <c r="N610" s="12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3" t="s">
        <v>2766</v>
      </c>
      <c r="AB610" s="13">
        <v>371.8</v>
      </c>
      <c r="AC610" s="13" t="s">
        <v>2349</v>
      </c>
      <c r="AD610" s="13" t="s">
        <v>647</v>
      </c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</row>
    <row r="611" spans="1:40" ht="20.100000000000001" customHeight="1">
      <c r="A611" s="11">
        <v>610</v>
      </c>
      <c r="B611" s="12" t="s">
        <v>38</v>
      </c>
      <c r="C611" s="12" t="s">
        <v>38</v>
      </c>
      <c r="D611" s="13" t="s">
        <v>2312</v>
      </c>
      <c r="E611" s="11"/>
      <c r="F611" s="12"/>
      <c r="G611" s="13" t="str">
        <f>"9781476608389"</f>
        <v>9781476608389</v>
      </c>
      <c r="H611" s="13" t="s">
        <v>1719</v>
      </c>
      <c r="I611" s="11" t="s">
        <v>2774</v>
      </c>
      <c r="J611" s="11"/>
      <c r="K611" s="11"/>
      <c r="L611" s="11"/>
      <c r="M611" s="13" t="s">
        <v>2187</v>
      </c>
      <c r="N611" s="12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3" t="s">
        <v>2766</v>
      </c>
      <c r="AB611" s="13">
        <v>230.00299999999999</v>
      </c>
      <c r="AC611" s="13" t="s">
        <v>2323</v>
      </c>
      <c r="AD611" s="13" t="s">
        <v>648</v>
      </c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</row>
    <row r="612" spans="1:40" ht="20.100000000000001" customHeight="1">
      <c r="A612" s="11">
        <v>611</v>
      </c>
      <c r="B612" s="12" t="s">
        <v>38</v>
      </c>
      <c r="C612" s="12" t="s">
        <v>38</v>
      </c>
      <c r="D612" s="13" t="s">
        <v>2312</v>
      </c>
      <c r="E612" s="11"/>
      <c r="F612" s="12"/>
      <c r="G612" s="13" t="str">
        <f>"9781476609416"</f>
        <v>9781476609416</v>
      </c>
      <c r="H612" s="13" t="s">
        <v>1720</v>
      </c>
      <c r="I612" s="11" t="s">
        <v>2773</v>
      </c>
      <c r="J612" s="11"/>
      <c r="K612" s="11"/>
      <c r="L612" s="11"/>
      <c r="M612" s="13" t="s">
        <v>2187</v>
      </c>
      <c r="N612" s="12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3" t="s">
        <v>2766</v>
      </c>
      <c r="AB612" s="13">
        <v>828.80899999999997</v>
      </c>
      <c r="AC612" s="13" t="s">
        <v>2313</v>
      </c>
      <c r="AD612" s="13" t="s">
        <v>649</v>
      </c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</row>
    <row r="613" spans="1:40" ht="20.100000000000001" customHeight="1">
      <c r="A613" s="11">
        <v>612</v>
      </c>
      <c r="B613" s="12" t="s">
        <v>38</v>
      </c>
      <c r="C613" s="12" t="s">
        <v>38</v>
      </c>
      <c r="D613" s="13" t="s">
        <v>2312</v>
      </c>
      <c r="E613" s="11"/>
      <c r="F613" s="12"/>
      <c r="G613" s="13" t="str">
        <f>"9780199378852"</f>
        <v>9780199378852</v>
      </c>
      <c r="H613" s="13" t="s">
        <v>1721</v>
      </c>
      <c r="I613" s="11" t="s">
        <v>2789</v>
      </c>
      <c r="J613" s="11"/>
      <c r="K613" s="11"/>
      <c r="L613" s="11"/>
      <c r="M613" s="13" t="s">
        <v>2188</v>
      </c>
      <c r="N613" s="12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3" t="s">
        <v>2766</v>
      </c>
      <c r="AB613" s="13">
        <v>616.99400000000003</v>
      </c>
      <c r="AC613" s="13" t="s">
        <v>2328</v>
      </c>
      <c r="AD613" s="13" t="s">
        <v>650</v>
      </c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</row>
    <row r="614" spans="1:40" ht="20.100000000000001" customHeight="1">
      <c r="A614" s="11">
        <v>613</v>
      </c>
      <c r="B614" s="12" t="s">
        <v>38</v>
      </c>
      <c r="C614" s="12" t="s">
        <v>38</v>
      </c>
      <c r="D614" s="13" t="s">
        <v>2312</v>
      </c>
      <c r="E614" s="11"/>
      <c r="F614" s="12"/>
      <c r="G614" s="13" t="str">
        <f>"9780813165202"</f>
        <v>9780813165202</v>
      </c>
      <c r="H614" s="13" t="s">
        <v>1722</v>
      </c>
      <c r="I614" s="11" t="s">
        <v>2788</v>
      </c>
      <c r="J614" s="11"/>
      <c r="K614" s="11"/>
      <c r="L614" s="11"/>
      <c r="M614" s="13" t="s">
        <v>2219</v>
      </c>
      <c r="N614" s="12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3" t="s">
        <v>2766</v>
      </c>
      <c r="AB614" s="13"/>
      <c r="AC614" s="13" t="s">
        <v>2369</v>
      </c>
      <c r="AD614" s="13" t="s">
        <v>651</v>
      </c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</row>
    <row r="615" spans="1:40" ht="20.100000000000001" customHeight="1">
      <c r="A615" s="11">
        <v>614</v>
      </c>
      <c r="B615" s="12" t="s">
        <v>38</v>
      </c>
      <c r="C615" s="12" t="s">
        <v>38</v>
      </c>
      <c r="D615" s="13" t="s">
        <v>2312</v>
      </c>
      <c r="E615" s="11"/>
      <c r="F615" s="12"/>
      <c r="G615" s="13" t="str">
        <f>"9781476609966"</f>
        <v>9781476609966</v>
      </c>
      <c r="H615" s="13" t="s">
        <v>1723</v>
      </c>
      <c r="I615" s="11" t="s">
        <v>2774</v>
      </c>
      <c r="J615" s="11"/>
      <c r="K615" s="11"/>
      <c r="L615" s="11"/>
      <c r="M615" s="13" t="s">
        <v>2187</v>
      </c>
      <c r="N615" s="12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3" t="s">
        <v>2766</v>
      </c>
      <c r="AB615" s="13">
        <v>929.44</v>
      </c>
      <c r="AC615" s="13" t="s">
        <v>2317</v>
      </c>
      <c r="AD615" s="13" t="s">
        <v>652</v>
      </c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</row>
    <row r="616" spans="1:40" ht="20.100000000000001" customHeight="1">
      <c r="A616" s="11">
        <v>615</v>
      </c>
      <c r="B616" s="12" t="s">
        <v>38</v>
      </c>
      <c r="C616" s="12" t="s">
        <v>38</v>
      </c>
      <c r="D616" s="13" t="s">
        <v>2312</v>
      </c>
      <c r="E616" s="11"/>
      <c r="F616" s="12"/>
      <c r="G616" s="13" t="str">
        <f>"9780199790531"</f>
        <v>9780199790531</v>
      </c>
      <c r="H616" s="13" t="s">
        <v>1724</v>
      </c>
      <c r="I616" s="11" t="s">
        <v>2789</v>
      </c>
      <c r="J616" s="11"/>
      <c r="K616" s="11"/>
      <c r="L616" s="11"/>
      <c r="M616" s="13" t="s">
        <v>2188</v>
      </c>
      <c r="N616" s="12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3" t="s">
        <v>2766</v>
      </c>
      <c r="AB616" s="13">
        <v>987</v>
      </c>
      <c r="AC616" s="13" t="s">
        <v>2317</v>
      </c>
      <c r="AD616" s="13" t="s">
        <v>653</v>
      </c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</row>
    <row r="617" spans="1:40" ht="20.100000000000001" customHeight="1">
      <c r="A617" s="11">
        <v>616</v>
      </c>
      <c r="B617" s="12" t="s">
        <v>38</v>
      </c>
      <c r="C617" s="12" t="s">
        <v>38</v>
      </c>
      <c r="D617" s="13" t="s">
        <v>2312</v>
      </c>
      <c r="E617" s="11"/>
      <c r="F617" s="12"/>
      <c r="G617" s="13" t="str">
        <f>"9780814769164"</f>
        <v>9780814769164</v>
      </c>
      <c r="H617" s="13" t="s">
        <v>1725</v>
      </c>
      <c r="I617" s="11" t="s">
        <v>2789</v>
      </c>
      <c r="J617" s="11"/>
      <c r="K617" s="11"/>
      <c r="L617" s="11"/>
      <c r="M617" s="13" t="s">
        <v>2195</v>
      </c>
      <c r="N617" s="12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3" t="s">
        <v>2766</v>
      </c>
      <c r="AB617" s="13">
        <v>392.30973090340001</v>
      </c>
      <c r="AC617" s="13" t="s">
        <v>2447</v>
      </c>
      <c r="AD617" s="13" t="s">
        <v>654</v>
      </c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</row>
    <row r="618" spans="1:40" ht="20.100000000000001" customHeight="1">
      <c r="A618" s="11">
        <v>617</v>
      </c>
      <c r="B618" s="12" t="s">
        <v>38</v>
      </c>
      <c r="C618" s="12" t="s">
        <v>38</v>
      </c>
      <c r="D618" s="13" t="s">
        <v>2312</v>
      </c>
      <c r="E618" s="11"/>
      <c r="F618" s="12"/>
      <c r="G618" s="13" t="str">
        <f>"9780226178486"</f>
        <v>9780226178486</v>
      </c>
      <c r="H618" s="13" t="s">
        <v>1726</v>
      </c>
      <c r="I618" s="11" t="s">
        <v>2789</v>
      </c>
      <c r="J618" s="11"/>
      <c r="K618" s="11"/>
      <c r="L618" s="11"/>
      <c r="M618" s="13" t="s">
        <v>2186</v>
      </c>
      <c r="N618" s="12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3" t="s">
        <v>2766</v>
      </c>
      <c r="AB618" s="13" t="s">
        <v>2670</v>
      </c>
      <c r="AC618" s="13" t="s">
        <v>2448</v>
      </c>
      <c r="AD618" s="13" t="s">
        <v>655</v>
      </c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</row>
    <row r="619" spans="1:40" ht="20.100000000000001" customHeight="1">
      <c r="A619" s="11">
        <v>618</v>
      </c>
      <c r="B619" s="12" t="s">
        <v>38</v>
      </c>
      <c r="C619" s="12" t="s">
        <v>38</v>
      </c>
      <c r="D619" s="13" t="s">
        <v>2312</v>
      </c>
      <c r="E619" s="11"/>
      <c r="F619" s="12"/>
      <c r="G619" s="13" t="str">
        <f>"9781476606484"</f>
        <v>9781476606484</v>
      </c>
      <c r="H619" s="13" t="s">
        <v>1727</v>
      </c>
      <c r="I619" s="11" t="s">
        <v>2774</v>
      </c>
      <c r="J619" s="11"/>
      <c r="K619" s="11"/>
      <c r="L619" s="11"/>
      <c r="M619" s="13" t="s">
        <v>2187</v>
      </c>
      <c r="N619" s="12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3" t="s">
        <v>2766</v>
      </c>
      <c r="AB619" s="13" t="s">
        <v>2671</v>
      </c>
      <c r="AC619" s="13" t="s">
        <v>2449</v>
      </c>
      <c r="AD619" s="13" t="s">
        <v>656</v>
      </c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</row>
    <row r="620" spans="1:40" ht="20.100000000000001" customHeight="1">
      <c r="A620" s="11">
        <v>619</v>
      </c>
      <c r="B620" s="12" t="s">
        <v>38</v>
      </c>
      <c r="C620" s="12" t="s">
        <v>38</v>
      </c>
      <c r="D620" s="13" t="s">
        <v>2312</v>
      </c>
      <c r="E620" s="11"/>
      <c r="F620" s="12"/>
      <c r="G620" s="13" t="str">
        <f>"9780826120328"</f>
        <v>9780826120328</v>
      </c>
      <c r="H620" s="13" t="s">
        <v>1728</v>
      </c>
      <c r="I620" s="11" t="s">
        <v>2789</v>
      </c>
      <c r="J620" s="11"/>
      <c r="K620" s="11"/>
      <c r="L620" s="11"/>
      <c r="M620" s="13" t="s">
        <v>2183</v>
      </c>
      <c r="N620" s="12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3" t="s">
        <v>2766</v>
      </c>
      <c r="AB620" s="13">
        <v>610.73030000000006</v>
      </c>
      <c r="AC620" s="13" t="s">
        <v>2426</v>
      </c>
      <c r="AD620" s="13" t="s">
        <v>657</v>
      </c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</row>
    <row r="621" spans="1:40" ht="20.100000000000001" customHeight="1">
      <c r="A621" s="11">
        <v>620</v>
      </c>
      <c r="B621" s="12" t="s">
        <v>38</v>
      </c>
      <c r="C621" s="12" t="s">
        <v>38</v>
      </c>
      <c r="D621" s="13" t="s">
        <v>2312</v>
      </c>
      <c r="E621" s="11"/>
      <c r="F621" s="12"/>
      <c r="G621" s="13" t="str">
        <f>"9781476619156"</f>
        <v>9781476619156</v>
      </c>
      <c r="H621" s="13" t="s">
        <v>1729</v>
      </c>
      <c r="I621" s="11" t="s">
        <v>2789</v>
      </c>
      <c r="J621" s="11"/>
      <c r="K621" s="11"/>
      <c r="L621" s="11"/>
      <c r="M621" s="13" t="s">
        <v>2187</v>
      </c>
      <c r="N621" s="12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3" t="s">
        <v>2766</v>
      </c>
      <c r="AB621" s="13">
        <v>615.1</v>
      </c>
      <c r="AC621" s="13" t="s">
        <v>2441</v>
      </c>
      <c r="AD621" s="13" t="s">
        <v>658</v>
      </c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</row>
    <row r="622" spans="1:40" ht="20.100000000000001" customHeight="1">
      <c r="A622" s="11">
        <v>621</v>
      </c>
      <c r="B622" s="12" t="s">
        <v>38</v>
      </c>
      <c r="C622" s="12" t="s">
        <v>38</v>
      </c>
      <c r="D622" s="13" t="s">
        <v>2312</v>
      </c>
      <c r="E622" s="11"/>
      <c r="F622" s="12"/>
      <c r="G622" s="13" t="str">
        <f>"9781118532386"</f>
        <v>9781118532386</v>
      </c>
      <c r="H622" s="13" t="s">
        <v>1730</v>
      </c>
      <c r="I622" s="11" t="s">
        <v>2789</v>
      </c>
      <c r="J622" s="11"/>
      <c r="K622" s="11"/>
      <c r="L622" s="11"/>
      <c r="M622" s="13" t="s">
        <v>2176</v>
      </c>
      <c r="N622" s="12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3" t="s">
        <v>2766</v>
      </c>
      <c r="AB622" s="13">
        <v>729</v>
      </c>
      <c r="AC622" s="13" t="s">
        <v>2445</v>
      </c>
      <c r="AD622" s="13" t="s">
        <v>659</v>
      </c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</row>
    <row r="623" spans="1:40" ht="20.100000000000001" customHeight="1">
      <c r="A623" s="11">
        <v>622</v>
      </c>
      <c r="B623" s="12" t="s">
        <v>38</v>
      </c>
      <c r="C623" s="12" t="s">
        <v>38</v>
      </c>
      <c r="D623" s="13" t="s">
        <v>2312</v>
      </c>
      <c r="E623" s="11"/>
      <c r="F623" s="12"/>
      <c r="G623" s="13" t="str">
        <f>"9781476603223"</f>
        <v>9781476603223</v>
      </c>
      <c r="H623" s="13" t="s">
        <v>1731</v>
      </c>
      <c r="I623" s="11" t="s">
        <v>2771</v>
      </c>
      <c r="J623" s="11"/>
      <c r="K623" s="11"/>
      <c r="L623" s="11"/>
      <c r="M623" s="13" t="s">
        <v>2187</v>
      </c>
      <c r="N623" s="12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3" t="s">
        <v>2766</v>
      </c>
      <c r="AB623" s="13" t="s">
        <v>2672</v>
      </c>
      <c r="AC623" s="13" t="s">
        <v>2450</v>
      </c>
      <c r="AD623" s="13" t="s">
        <v>660</v>
      </c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</row>
    <row r="624" spans="1:40" ht="20.100000000000001" customHeight="1">
      <c r="A624" s="11">
        <v>623</v>
      </c>
      <c r="B624" s="12" t="s">
        <v>38</v>
      </c>
      <c r="C624" s="12" t="s">
        <v>38</v>
      </c>
      <c r="D624" s="13" t="s">
        <v>2312</v>
      </c>
      <c r="E624" s="11"/>
      <c r="F624" s="12"/>
      <c r="G624" s="13" t="str">
        <f>"9781476619569"</f>
        <v>9781476619569</v>
      </c>
      <c r="H624" s="13" t="s">
        <v>1732</v>
      </c>
      <c r="I624" s="11" t="s">
        <v>2789</v>
      </c>
      <c r="J624" s="11"/>
      <c r="K624" s="11"/>
      <c r="L624" s="11"/>
      <c r="M624" s="13" t="s">
        <v>2187</v>
      </c>
      <c r="N624" s="12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3" t="s">
        <v>2766</v>
      </c>
      <c r="AB624" s="13" t="s">
        <v>2673</v>
      </c>
      <c r="AC624" s="13" t="s">
        <v>2338</v>
      </c>
      <c r="AD624" s="13" t="s">
        <v>661</v>
      </c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</row>
    <row r="625" spans="1:40" ht="20.100000000000001" customHeight="1">
      <c r="A625" s="11">
        <v>624</v>
      </c>
      <c r="B625" s="12" t="s">
        <v>38</v>
      </c>
      <c r="C625" s="12" t="s">
        <v>38</v>
      </c>
      <c r="D625" s="13" t="s">
        <v>2312</v>
      </c>
      <c r="E625" s="11"/>
      <c r="F625" s="12"/>
      <c r="G625" s="13" t="str">
        <f>"9781476612812"</f>
        <v>9781476612812</v>
      </c>
      <c r="H625" s="13" t="s">
        <v>1733</v>
      </c>
      <c r="I625" s="11" t="s">
        <v>2778</v>
      </c>
      <c r="J625" s="11"/>
      <c r="K625" s="11"/>
      <c r="L625" s="11"/>
      <c r="M625" s="13" t="s">
        <v>2187</v>
      </c>
      <c r="N625" s="12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3" t="s">
        <v>2766</v>
      </c>
      <c r="AB625" s="13" t="s">
        <v>2548</v>
      </c>
      <c r="AC625" s="13" t="s">
        <v>2313</v>
      </c>
      <c r="AD625" s="13" t="s">
        <v>662</v>
      </c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</row>
    <row r="626" spans="1:40" ht="20.100000000000001" customHeight="1">
      <c r="A626" s="11">
        <v>625</v>
      </c>
      <c r="B626" s="12" t="s">
        <v>38</v>
      </c>
      <c r="C626" s="12" t="s">
        <v>38</v>
      </c>
      <c r="D626" s="13" t="s">
        <v>2312</v>
      </c>
      <c r="E626" s="11"/>
      <c r="F626" s="12"/>
      <c r="G626" s="13" t="str">
        <f>"9781452266107"</f>
        <v>9781452266107</v>
      </c>
      <c r="H626" s="13" t="s">
        <v>1734</v>
      </c>
      <c r="I626" s="11" t="s">
        <v>2780</v>
      </c>
      <c r="J626" s="11"/>
      <c r="K626" s="11"/>
      <c r="L626" s="11"/>
      <c r="M626" s="13" t="s">
        <v>2199</v>
      </c>
      <c r="N626" s="12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3" t="s">
        <v>2766</v>
      </c>
      <c r="AB626" s="13">
        <v>790.1</v>
      </c>
      <c r="AC626" s="13" t="s">
        <v>2451</v>
      </c>
      <c r="AD626" s="13" t="s">
        <v>663</v>
      </c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</row>
    <row r="627" spans="1:40" ht="20.100000000000001" customHeight="1">
      <c r="A627" s="11">
        <v>626</v>
      </c>
      <c r="B627" s="12" t="s">
        <v>38</v>
      </c>
      <c r="C627" s="12" t="s">
        <v>38</v>
      </c>
      <c r="D627" s="13" t="s">
        <v>2312</v>
      </c>
      <c r="E627" s="11"/>
      <c r="F627" s="12"/>
      <c r="G627" s="13" t="str">
        <f>"9781452266312"</f>
        <v>9781452266312</v>
      </c>
      <c r="H627" s="13" t="s">
        <v>1735</v>
      </c>
      <c r="I627" s="11" t="s">
        <v>2783</v>
      </c>
      <c r="J627" s="11"/>
      <c r="K627" s="11"/>
      <c r="L627" s="11"/>
      <c r="M627" s="13" t="s">
        <v>2199</v>
      </c>
      <c r="N627" s="12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3" t="s">
        <v>2766</v>
      </c>
      <c r="AB627" s="13">
        <v>330</v>
      </c>
      <c r="AC627" s="13" t="s">
        <v>2419</v>
      </c>
      <c r="AD627" s="13" t="s">
        <v>664</v>
      </c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</row>
    <row r="628" spans="1:40" ht="20.100000000000001" customHeight="1">
      <c r="A628" s="11">
        <v>627</v>
      </c>
      <c r="B628" s="12" t="s">
        <v>38</v>
      </c>
      <c r="C628" s="12" t="s">
        <v>38</v>
      </c>
      <c r="D628" s="13" t="s">
        <v>2312</v>
      </c>
      <c r="E628" s="11"/>
      <c r="F628" s="12"/>
      <c r="G628" s="13" t="str">
        <f>"9789004291027"</f>
        <v>9789004291027</v>
      </c>
      <c r="H628" s="13" t="s">
        <v>1736</v>
      </c>
      <c r="I628" s="11" t="s">
        <v>2789</v>
      </c>
      <c r="J628" s="11"/>
      <c r="K628" s="11"/>
      <c r="L628" s="11"/>
      <c r="M628" s="13" t="s">
        <v>2184</v>
      </c>
      <c r="N628" s="12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3" t="s">
        <v>2766</v>
      </c>
      <c r="AB628" s="13" t="s">
        <v>2674</v>
      </c>
      <c r="AC628" s="13" t="s">
        <v>2323</v>
      </c>
      <c r="AD628" s="13" t="s">
        <v>665</v>
      </c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</row>
    <row r="629" spans="1:40" ht="20.100000000000001" customHeight="1">
      <c r="A629" s="11">
        <v>628</v>
      </c>
      <c r="B629" s="12" t="s">
        <v>38</v>
      </c>
      <c r="C629" s="12" t="s">
        <v>38</v>
      </c>
      <c r="D629" s="13" t="s">
        <v>2312</v>
      </c>
      <c r="E629" s="11"/>
      <c r="F629" s="12"/>
      <c r="G629" s="13" t="str">
        <f>"9780830867349"</f>
        <v>9780830867349</v>
      </c>
      <c r="H629" s="13" t="s">
        <v>1737</v>
      </c>
      <c r="I629" s="11" t="s">
        <v>2779</v>
      </c>
      <c r="J629" s="11"/>
      <c r="K629" s="11"/>
      <c r="L629" s="11"/>
      <c r="M629" s="13" t="s">
        <v>2220</v>
      </c>
      <c r="N629" s="12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3" t="s">
        <v>2766</v>
      </c>
      <c r="AB629" s="13">
        <v>225.3</v>
      </c>
      <c r="AC629" s="13" t="s">
        <v>2323</v>
      </c>
      <c r="AD629" s="13" t="s">
        <v>666</v>
      </c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</row>
    <row r="630" spans="1:40" ht="20.100000000000001" customHeight="1">
      <c r="A630" s="11">
        <v>629</v>
      </c>
      <c r="B630" s="12" t="s">
        <v>38</v>
      </c>
      <c r="C630" s="12" t="s">
        <v>38</v>
      </c>
      <c r="D630" s="13" t="s">
        <v>2312</v>
      </c>
      <c r="E630" s="11"/>
      <c r="F630" s="12"/>
      <c r="G630" s="13" t="str">
        <f>"9780830867370"</f>
        <v>9780830867370</v>
      </c>
      <c r="H630" s="13" t="s">
        <v>1738</v>
      </c>
      <c r="I630" s="11" t="s">
        <v>2772</v>
      </c>
      <c r="J630" s="11"/>
      <c r="K630" s="11"/>
      <c r="L630" s="11"/>
      <c r="M630" s="13" t="s">
        <v>2220</v>
      </c>
      <c r="N630" s="12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3" t="s">
        <v>2766</v>
      </c>
      <c r="AB630" s="13"/>
      <c r="AC630" s="13" t="s">
        <v>2323</v>
      </c>
      <c r="AD630" s="13" t="s">
        <v>667</v>
      </c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</row>
    <row r="631" spans="1:40" ht="20.100000000000001" customHeight="1">
      <c r="A631" s="11">
        <v>630</v>
      </c>
      <c r="B631" s="12" t="s">
        <v>38</v>
      </c>
      <c r="C631" s="12" t="s">
        <v>38</v>
      </c>
      <c r="D631" s="13" t="s">
        <v>2312</v>
      </c>
      <c r="E631" s="11"/>
      <c r="F631" s="12"/>
      <c r="G631" s="13" t="str">
        <f>"9780199354306"</f>
        <v>9780199354306</v>
      </c>
      <c r="H631" s="13" t="s">
        <v>1739</v>
      </c>
      <c r="I631" s="11" t="s">
        <v>2789</v>
      </c>
      <c r="J631" s="11"/>
      <c r="K631" s="11"/>
      <c r="L631" s="11"/>
      <c r="M631" s="13" t="s">
        <v>2188</v>
      </c>
      <c r="N631" s="12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3" t="s">
        <v>2766</v>
      </c>
      <c r="AB631" s="13" t="s">
        <v>2675</v>
      </c>
      <c r="AC631" s="13" t="s">
        <v>2399</v>
      </c>
      <c r="AD631" s="13" t="s">
        <v>668</v>
      </c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</row>
    <row r="632" spans="1:40" ht="20.100000000000001" customHeight="1">
      <c r="A632" s="11">
        <v>631</v>
      </c>
      <c r="B632" s="12" t="s">
        <v>38</v>
      </c>
      <c r="C632" s="12" t="s">
        <v>38</v>
      </c>
      <c r="D632" s="13" t="s">
        <v>2312</v>
      </c>
      <c r="E632" s="11"/>
      <c r="F632" s="12"/>
      <c r="G632" s="13" t="str">
        <f>"9781118494141"</f>
        <v>9781118494141</v>
      </c>
      <c r="H632" s="13" t="s">
        <v>1740</v>
      </c>
      <c r="I632" s="11" t="s">
        <v>2789</v>
      </c>
      <c r="J632" s="11"/>
      <c r="K632" s="11"/>
      <c r="L632" s="11"/>
      <c r="M632" s="13" t="s">
        <v>2176</v>
      </c>
      <c r="N632" s="12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3" t="s">
        <v>2766</v>
      </c>
      <c r="AB632" s="13" t="s">
        <v>2676</v>
      </c>
      <c r="AC632" s="13" t="s">
        <v>2313</v>
      </c>
      <c r="AD632" s="13" t="s">
        <v>669</v>
      </c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</row>
    <row r="633" spans="1:40" ht="20.100000000000001" customHeight="1">
      <c r="A633" s="11">
        <v>632</v>
      </c>
      <c r="B633" s="12" t="s">
        <v>38</v>
      </c>
      <c r="C633" s="12" t="s">
        <v>38</v>
      </c>
      <c r="D633" s="13" t="s">
        <v>2312</v>
      </c>
      <c r="E633" s="11"/>
      <c r="F633" s="12"/>
      <c r="G633" s="13" t="str">
        <f>"9780830866083"</f>
        <v>9780830866083</v>
      </c>
      <c r="H633" s="13" t="s">
        <v>1741</v>
      </c>
      <c r="I633" s="11" t="s">
        <v>2785</v>
      </c>
      <c r="J633" s="11"/>
      <c r="K633" s="11"/>
      <c r="L633" s="11"/>
      <c r="M633" s="13" t="s">
        <v>2220</v>
      </c>
      <c r="N633" s="12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3" t="s">
        <v>2766</v>
      </c>
      <c r="AB633" s="13"/>
      <c r="AC633" s="13" t="s">
        <v>2323</v>
      </c>
      <c r="AD633" s="13" t="s">
        <v>670</v>
      </c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</row>
    <row r="634" spans="1:40" ht="20.100000000000001" customHeight="1">
      <c r="A634" s="11">
        <v>633</v>
      </c>
      <c r="B634" s="12" t="s">
        <v>38</v>
      </c>
      <c r="C634" s="12" t="s">
        <v>38</v>
      </c>
      <c r="D634" s="13" t="s">
        <v>2312</v>
      </c>
      <c r="E634" s="11"/>
      <c r="F634" s="12"/>
      <c r="G634" s="13" t="str">
        <f>"9780830867073"</f>
        <v>9780830867073</v>
      </c>
      <c r="H634" s="13" t="s">
        <v>1742</v>
      </c>
      <c r="I634" s="11" t="s">
        <v>2781</v>
      </c>
      <c r="J634" s="11"/>
      <c r="K634" s="11"/>
      <c r="L634" s="11"/>
      <c r="M634" s="13" t="s">
        <v>2220</v>
      </c>
      <c r="N634" s="12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3" t="s">
        <v>2766</v>
      </c>
      <c r="AB634" s="13" t="s">
        <v>2677</v>
      </c>
      <c r="AC634" s="13" t="s">
        <v>2323</v>
      </c>
      <c r="AD634" s="13" t="s">
        <v>671</v>
      </c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</row>
    <row r="635" spans="1:40" ht="20.100000000000001" customHeight="1">
      <c r="A635" s="11">
        <v>634</v>
      </c>
      <c r="B635" s="12" t="s">
        <v>38</v>
      </c>
      <c r="C635" s="12" t="s">
        <v>38</v>
      </c>
      <c r="D635" s="13" t="s">
        <v>2312</v>
      </c>
      <c r="E635" s="11"/>
      <c r="F635" s="12"/>
      <c r="G635" s="13" t="str">
        <f>"9781452266039"</f>
        <v>9781452266039</v>
      </c>
      <c r="H635" s="13" t="s">
        <v>1743</v>
      </c>
      <c r="I635" s="11" t="s">
        <v>2778</v>
      </c>
      <c r="J635" s="11"/>
      <c r="K635" s="11"/>
      <c r="L635" s="11"/>
      <c r="M635" s="13" t="s">
        <v>2199</v>
      </c>
      <c r="N635" s="12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3" t="s">
        <v>2766</v>
      </c>
      <c r="AB635" s="13">
        <v>299.60300000000001</v>
      </c>
      <c r="AC635" s="13" t="s">
        <v>2323</v>
      </c>
      <c r="AD635" s="13" t="s">
        <v>672</v>
      </c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</row>
    <row r="636" spans="1:40" ht="20.100000000000001" customHeight="1">
      <c r="A636" s="11">
        <v>635</v>
      </c>
      <c r="B636" s="12" t="s">
        <v>38</v>
      </c>
      <c r="C636" s="12" t="s">
        <v>38</v>
      </c>
      <c r="D636" s="13" t="s">
        <v>2312</v>
      </c>
      <c r="E636" s="11"/>
      <c r="F636" s="12"/>
      <c r="G636" s="13" t="str">
        <f>"9781476605371"</f>
        <v>9781476605371</v>
      </c>
      <c r="H636" s="13" t="s">
        <v>1744</v>
      </c>
      <c r="I636" s="11" t="s">
        <v>2786</v>
      </c>
      <c r="J636" s="11"/>
      <c r="K636" s="11"/>
      <c r="L636" s="11"/>
      <c r="M636" s="13" t="s">
        <v>2187</v>
      </c>
      <c r="N636" s="12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3" t="s">
        <v>2766</v>
      </c>
      <c r="AB636" s="13">
        <v>782.10299999999995</v>
      </c>
      <c r="AC636" s="13" t="s">
        <v>2315</v>
      </c>
      <c r="AD636" s="13" t="s">
        <v>673</v>
      </c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</row>
    <row r="637" spans="1:40" ht="20.100000000000001" customHeight="1">
      <c r="A637" s="11">
        <v>636</v>
      </c>
      <c r="B637" s="12" t="s">
        <v>38</v>
      </c>
      <c r="C637" s="12" t="s">
        <v>38</v>
      </c>
      <c r="D637" s="13" t="s">
        <v>2312</v>
      </c>
      <c r="E637" s="11"/>
      <c r="F637" s="12"/>
      <c r="G637" s="13" t="str">
        <f>"9781476608556"</f>
        <v>9781476608556</v>
      </c>
      <c r="H637" s="13" t="s">
        <v>1745</v>
      </c>
      <c r="I637" s="11" t="s">
        <v>2786</v>
      </c>
      <c r="J637" s="11"/>
      <c r="K637" s="11"/>
      <c r="L637" s="11"/>
      <c r="M637" s="13" t="s">
        <v>2187</v>
      </c>
      <c r="N637" s="12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3" t="s">
        <v>2766</v>
      </c>
      <c r="AB637" s="13">
        <v>394.26340299999998</v>
      </c>
      <c r="AC637" s="13" t="s">
        <v>2330</v>
      </c>
      <c r="AD637" s="13" t="s">
        <v>674</v>
      </c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</row>
    <row r="638" spans="1:40" ht="20.100000000000001" customHeight="1">
      <c r="A638" s="11">
        <v>637</v>
      </c>
      <c r="B638" s="12" t="s">
        <v>38</v>
      </c>
      <c r="C638" s="12" t="s">
        <v>38</v>
      </c>
      <c r="D638" s="13" t="s">
        <v>2312</v>
      </c>
      <c r="E638" s="11"/>
      <c r="F638" s="12"/>
      <c r="G638" s="13" t="str">
        <f>"9781783161652"</f>
        <v>9781783161652</v>
      </c>
      <c r="H638" s="13" t="s">
        <v>1746</v>
      </c>
      <c r="I638" s="11" t="s">
        <v>2773</v>
      </c>
      <c r="J638" s="11"/>
      <c r="K638" s="11"/>
      <c r="L638" s="11"/>
      <c r="M638" s="13" t="s">
        <v>2221</v>
      </c>
      <c r="N638" s="12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3" t="s">
        <v>2766</v>
      </c>
      <c r="AB638" s="13">
        <v>914.29003</v>
      </c>
      <c r="AC638" s="13" t="s">
        <v>2382</v>
      </c>
      <c r="AD638" s="13" t="s">
        <v>675</v>
      </c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</row>
    <row r="639" spans="1:40" ht="20.100000000000001" customHeight="1">
      <c r="A639" s="11">
        <v>638</v>
      </c>
      <c r="B639" s="12" t="s">
        <v>38</v>
      </c>
      <c r="C639" s="12" t="s">
        <v>38</v>
      </c>
      <c r="D639" s="13" t="s">
        <v>2312</v>
      </c>
      <c r="E639" s="11"/>
      <c r="F639" s="12"/>
      <c r="G639" s="13" t="str">
        <f>"9781476609058"</f>
        <v>9781476609058</v>
      </c>
      <c r="H639" s="13" t="s">
        <v>1747</v>
      </c>
      <c r="I639" s="11" t="s">
        <v>2780</v>
      </c>
      <c r="J639" s="11"/>
      <c r="K639" s="11"/>
      <c r="L639" s="11"/>
      <c r="M639" s="13" t="s">
        <v>2187</v>
      </c>
      <c r="N639" s="12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3" t="s">
        <v>2766</v>
      </c>
      <c r="AB639" s="13" t="s">
        <v>2678</v>
      </c>
      <c r="AC639" s="13" t="s">
        <v>2315</v>
      </c>
      <c r="AD639" s="13" t="s">
        <v>676</v>
      </c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</row>
    <row r="640" spans="1:40" ht="20.100000000000001" customHeight="1">
      <c r="A640" s="11">
        <v>639</v>
      </c>
      <c r="B640" s="12" t="s">
        <v>38</v>
      </c>
      <c r="C640" s="12" t="s">
        <v>38</v>
      </c>
      <c r="D640" s="13" t="s">
        <v>2312</v>
      </c>
      <c r="E640" s="11"/>
      <c r="F640" s="12"/>
      <c r="G640" s="13" t="str">
        <f>"9781476609294"</f>
        <v>9781476609294</v>
      </c>
      <c r="H640" s="13" t="s">
        <v>1748</v>
      </c>
      <c r="I640" s="11" t="s">
        <v>2784</v>
      </c>
      <c r="J640" s="11"/>
      <c r="K640" s="11"/>
      <c r="L640" s="11"/>
      <c r="M640" s="13" t="s">
        <v>2187</v>
      </c>
      <c r="N640" s="12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3" t="s">
        <v>2766</v>
      </c>
      <c r="AB640" s="13" t="s">
        <v>2679</v>
      </c>
      <c r="AC640" s="13" t="s">
        <v>2317</v>
      </c>
      <c r="AD640" s="13" t="s">
        <v>677</v>
      </c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</row>
    <row r="641" spans="1:40" ht="20.100000000000001" customHeight="1">
      <c r="A641" s="11">
        <v>640</v>
      </c>
      <c r="B641" s="12" t="s">
        <v>38</v>
      </c>
      <c r="C641" s="12" t="s">
        <v>38</v>
      </c>
      <c r="D641" s="13" t="s">
        <v>2312</v>
      </c>
      <c r="E641" s="11"/>
      <c r="F641" s="12"/>
      <c r="G641" s="13" t="str">
        <f>"9780199307180"</f>
        <v>9780199307180</v>
      </c>
      <c r="H641" s="13" t="s">
        <v>1749</v>
      </c>
      <c r="I641" s="11" t="s">
        <v>2789</v>
      </c>
      <c r="J641" s="11"/>
      <c r="K641" s="11"/>
      <c r="L641" s="11"/>
      <c r="M641" s="13" t="s">
        <v>2188</v>
      </c>
      <c r="N641" s="12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3" t="s">
        <v>2766</v>
      </c>
      <c r="AB641" s="13" t="s">
        <v>2680</v>
      </c>
      <c r="AC641" s="13" t="s">
        <v>2328</v>
      </c>
      <c r="AD641" s="13" t="s">
        <v>678</v>
      </c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</row>
    <row r="642" spans="1:40" ht="20.100000000000001" customHeight="1">
      <c r="A642" s="11">
        <v>641</v>
      </c>
      <c r="B642" s="12" t="s">
        <v>38</v>
      </c>
      <c r="C642" s="12" t="s">
        <v>38</v>
      </c>
      <c r="D642" s="13" t="s">
        <v>2312</v>
      </c>
      <c r="E642" s="11"/>
      <c r="F642" s="12"/>
      <c r="G642" s="13" t="str">
        <f>"9783110292022"</f>
        <v>9783110292022</v>
      </c>
      <c r="H642" s="13" t="s">
        <v>1750</v>
      </c>
      <c r="I642" s="11" t="s">
        <v>2789</v>
      </c>
      <c r="J642" s="11"/>
      <c r="K642" s="11"/>
      <c r="L642" s="11"/>
      <c r="M642" s="13" t="s">
        <v>2201</v>
      </c>
      <c r="N642" s="12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3" t="s">
        <v>2766</v>
      </c>
      <c r="AB642" s="13">
        <v>410</v>
      </c>
      <c r="AC642" s="13" t="s">
        <v>2345</v>
      </c>
      <c r="AD642" s="13" t="s">
        <v>679</v>
      </c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</row>
    <row r="643" spans="1:40" ht="20.100000000000001" customHeight="1">
      <c r="A643" s="11">
        <v>642</v>
      </c>
      <c r="B643" s="12" t="s">
        <v>38</v>
      </c>
      <c r="C643" s="12" t="s">
        <v>38</v>
      </c>
      <c r="D643" s="13" t="s">
        <v>2312</v>
      </c>
      <c r="E643" s="11"/>
      <c r="F643" s="12"/>
      <c r="G643" s="13" t="str">
        <f>"9781846748295"</f>
        <v>9781846748295</v>
      </c>
      <c r="H643" s="13" t="s">
        <v>1751</v>
      </c>
      <c r="I643" s="11" t="s">
        <v>2778</v>
      </c>
      <c r="J643" s="11"/>
      <c r="K643" s="11"/>
      <c r="L643" s="11"/>
      <c r="M643" s="13" t="s">
        <v>2222</v>
      </c>
      <c r="N643" s="12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3" t="s">
        <v>2766</v>
      </c>
      <c r="AB643" s="13">
        <v>720.94100000000003</v>
      </c>
      <c r="AC643" s="13" t="s">
        <v>2445</v>
      </c>
      <c r="AD643" s="13" t="s">
        <v>680</v>
      </c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</row>
    <row r="644" spans="1:40" ht="20.100000000000001" customHeight="1">
      <c r="A644" s="11">
        <v>643</v>
      </c>
      <c r="B644" s="12" t="s">
        <v>38</v>
      </c>
      <c r="C644" s="12" t="s">
        <v>38</v>
      </c>
      <c r="D644" s="13" t="s">
        <v>2312</v>
      </c>
      <c r="E644" s="11"/>
      <c r="F644" s="12"/>
      <c r="G644" s="13" t="str">
        <f>"9781476604176"</f>
        <v>9781476604176</v>
      </c>
      <c r="H644" s="13" t="s">
        <v>1752</v>
      </c>
      <c r="I644" s="11" t="s">
        <v>2785</v>
      </c>
      <c r="J644" s="11"/>
      <c r="K644" s="11"/>
      <c r="L644" s="11"/>
      <c r="M644" s="13" t="s">
        <v>2187</v>
      </c>
      <c r="N644" s="12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3" t="s">
        <v>2766</v>
      </c>
      <c r="AB644" s="13" t="s">
        <v>2681</v>
      </c>
      <c r="AC644" s="13" t="s">
        <v>2318</v>
      </c>
      <c r="AD644" s="13" t="s">
        <v>681</v>
      </c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</row>
    <row r="645" spans="1:40" ht="20.100000000000001" customHeight="1">
      <c r="A645" s="11">
        <v>644</v>
      </c>
      <c r="B645" s="12" t="s">
        <v>38</v>
      </c>
      <c r="C645" s="12" t="s">
        <v>38</v>
      </c>
      <c r="D645" s="13" t="s">
        <v>2312</v>
      </c>
      <c r="E645" s="11"/>
      <c r="F645" s="12"/>
      <c r="G645" s="13" t="str">
        <f>"9781476604299"</f>
        <v>9781476604299</v>
      </c>
      <c r="H645" s="13" t="s">
        <v>1753</v>
      </c>
      <c r="I645" s="11" t="s">
        <v>2780</v>
      </c>
      <c r="J645" s="11"/>
      <c r="K645" s="11"/>
      <c r="L645" s="11"/>
      <c r="M645" s="13" t="s">
        <v>2187</v>
      </c>
      <c r="N645" s="12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3" t="s">
        <v>2766</v>
      </c>
      <c r="AB645" s="13"/>
      <c r="AC645" s="13" t="s">
        <v>2338</v>
      </c>
      <c r="AD645" s="13" t="s">
        <v>682</v>
      </c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</row>
    <row r="646" spans="1:40" ht="20.100000000000001" customHeight="1">
      <c r="A646" s="11">
        <v>645</v>
      </c>
      <c r="B646" s="12" t="s">
        <v>38</v>
      </c>
      <c r="C646" s="12" t="s">
        <v>38</v>
      </c>
      <c r="D646" s="13" t="s">
        <v>2312</v>
      </c>
      <c r="E646" s="11"/>
      <c r="F646" s="12"/>
      <c r="G646" s="13" t="str">
        <f>"9781476611129"</f>
        <v>9781476611129</v>
      </c>
      <c r="H646" s="13" t="s">
        <v>1754</v>
      </c>
      <c r="I646" s="11" t="s">
        <v>2784</v>
      </c>
      <c r="J646" s="11"/>
      <c r="K646" s="11"/>
      <c r="L646" s="11"/>
      <c r="M646" s="13" t="s">
        <v>2187</v>
      </c>
      <c r="N646" s="12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3" t="s">
        <v>2766</v>
      </c>
      <c r="AB646" s="13" t="s">
        <v>2682</v>
      </c>
      <c r="AC646" s="13" t="s">
        <v>2338</v>
      </c>
      <c r="AD646" s="13" t="s">
        <v>683</v>
      </c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</row>
    <row r="647" spans="1:40" ht="20.100000000000001" customHeight="1">
      <c r="A647" s="11">
        <v>646</v>
      </c>
      <c r="B647" s="12" t="s">
        <v>38</v>
      </c>
      <c r="C647" s="12" t="s">
        <v>38</v>
      </c>
      <c r="D647" s="13" t="s">
        <v>2312</v>
      </c>
      <c r="E647" s="11"/>
      <c r="F647" s="12"/>
      <c r="G647" s="13" t="str">
        <f>"9798216136668"</f>
        <v>9798216136668</v>
      </c>
      <c r="H647" s="13" t="s">
        <v>1755</v>
      </c>
      <c r="I647" s="11" t="s">
        <v>2789</v>
      </c>
      <c r="J647" s="11"/>
      <c r="K647" s="11"/>
      <c r="L647" s="11"/>
      <c r="M647" s="13" t="s">
        <v>2196</v>
      </c>
      <c r="N647" s="12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3" t="s">
        <v>2766</v>
      </c>
      <c r="AB647" s="13" t="s">
        <v>2683</v>
      </c>
      <c r="AC647" s="13" t="s">
        <v>2452</v>
      </c>
      <c r="AD647" s="13" t="s">
        <v>684</v>
      </c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</row>
    <row r="648" spans="1:40" ht="20.100000000000001" customHeight="1">
      <c r="A648" s="11">
        <v>647</v>
      </c>
      <c r="B648" s="12" t="s">
        <v>38</v>
      </c>
      <c r="C648" s="12" t="s">
        <v>38</v>
      </c>
      <c r="D648" s="13" t="s">
        <v>2312</v>
      </c>
      <c r="E648" s="11"/>
      <c r="F648" s="12"/>
      <c r="G648" s="13" t="str">
        <f>"9781118883549"</f>
        <v>9781118883549</v>
      </c>
      <c r="H648" s="13" t="s">
        <v>1756</v>
      </c>
      <c r="I648" s="11" t="s">
        <v>2789</v>
      </c>
      <c r="J648" s="11"/>
      <c r="K648" s="11"/>
      <c r="L648" s="11"/>
      <c r="M648" s="13" t="s">
        <v>2176</v>
      </c>
      <c r="N648" s="12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3" t="s">
        <v>2766</v>
      </c>
      <c r="AB648" s="13">
        <v>791.43095125000002</v>
      </c>
      <c r="AC648" s="13" t="s">
        <v>2315</v>
      </c>
      <c r="AD648" s="13" t="s">
        <v>685</v>
      </c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</row>
    <row r="649" spans="1:40" ht="20.100000000000001" customHeight="1">
      <c r="A649" s="11">
        <v>648</v>
      </c>
      <c r="B649" s="12" t="s">
        <v>38</v>
      </c>
      <c r="C649" s="12" t="s">
        <v>38</v>
      </c>
      <c r="D649" s="13" t="s">
        <v>2312</v>
      </c>
      <c r="E649" s="11"/>
      <c r="F649" s="12"/>
      <c r="G649" s="13" t="str">
        <f>"9781476606736"</f>
        <v>9781476606736</v>
      </c>
      <c r="H649" s="13" t="s">
        <v>1757</v>
      </c>
      <c r="I649" s="11" t="s">
        <v>2778</v>
      </c>
      <c r="J649" s="11"/>
      <c r="K649" s="11"/>
      <c r="L649" s="11"/>
      <c r="M649" s="13" t="s">
        <v>2187</v>
      </c>
      <c r="N649" s="12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3" t="s">
        <v>2766</v>
      </c>
      <c r="AB649" s="13" t="s">
        <v>2684</v>
      </c>
      <c r="AC649" s="13" t="s">
        <v>2359</v>
      </c>
      <c r="AD649" s="13" t="s">
        <v>686</v>
      </c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</row>
    <row r="650" spans="1:40" ht="20.100000000000001" customHeight="1">
      <c r="A650" s="11">
        <v>649</v>
      </c>
      <c r="B650" s="12" t="s">
        <v>38</v>
      </c>
      <c r="C650" s="12" t="s">
        <v>38</v>
      </c>
      <c r="D650" s="13" t="s">
        <v>2312</v>
      </c>
      <c r="E650" s="11"/>
      <c r="F650" s="12"/>
      <c r="G650" s="13" t="str">
        <f>"9780190217273"</f>
        <v>9780190217273</v>
      </c>
      <c r="H650" s="13" t="s">
        <v>1758</v>
      </c>
      <c r="I650" s="11" t="s">
        <v>2789</v>
      </c>
      <c r="J650" s="11"/>
      <c r="K650" s="11"/>
      <c r="L650" s="11"/>
      <c r="M650" s="13" t="s">
        <v>2188</v>
      </c>
      <c r="N650" s="12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3" t="s">
        <v>2766</v>
      </c>
      <c r="AB650" s="13">
        <v>363.32499999999999</v>
      </c>
      <c r="AC650" s="13" t="s">
        <v>2453</v>
      </c>
      <c r="AD650" s="13" t="s">
        <v>687</v>
      </c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</row>
    <row r="651" spans="1:40" ht="20.100000000000001" customHeight="1">
      <c r="A651" s="11">
        <v>650</v>
      </c>
      <c r="B651" s="12" t="s">
        <v>38</v>
      </c>
      <c r="C651" s="12" t="s">
        <v>38</v>
      </c>
      <c r="D651" s="13" t="s">
        <v>2312</v>
      </c>
      <c r="E651" s="11"/>
      <c r="F651" s="12"/>
      <c r="G651" s="13" t="str">
        <f>"9781118997413"</f>
        <v>9781118997413</v>
      </c>
      <c r="H651" s="13" t="s">
        <v>1759</v>
      </c>
      <c r="I651" s="11" t="s">
        <v>2789</v>
      </c>
      <c r="J651" s="11"/>
      <c r="K651" s="11"/>
      <c r="L651" s="11"/>
      <c r="M651" s="13" t="s">
        <v>2176</v>
      </c>
      <c r="N651" s="12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3" t="s">
        <v>2766</v>
      </c>
      <c r="AB651" s="13">
        <v>370.93799999999999</v>
      </c>
      <c r="AC651" s="13" t="s">
        <v>2349</v>
      </c>
      <c r="AD651" s="13" t="s">
        <v>688</v>
      </c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</row>
    <row r="652" spans="1:40" ht="20.100000000000001" customHeight="1">
      <c r="A652" s="11">
        <v>651</v>
      </c>
      <c r="B652" s="12" t="s">
        <v>38</v>
      </c>
      <c r="C652" s="12" t="s">
        <v>38</v>
      </c>
      <c r="D652" s="13" t="s">
        <v>2312</v>
      </c>
      <c r="E652" s="11"/>
      <c r="F652" s="12"/>
      <c r="G652" s="13" t="str">
        <f>"9781601384577"</f>
        <v>9781601384577</v>
      </c>
      <c r="H652" s="13" t="s">
        <v>1760</v>
      </c>
      <c r="I652" s="11" t="s">
        <v>2774</v>
      </c>
      <c r="J652" s="11"/>
      <c r="K652" s="11"/>
      <c r="L652" s="11"/>
      <c r="M652" s="13" t="s">
        <v>2223</v>
      </c>
      <c r="N652" s="12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3" t="s">
        <v>2766</v>
      </c>
      <c r="AB652" s="13">
        <v>333.33030000000002</v>
      </c>
      <c r="AC652" s="13" t="s">
        <v>2419</v>
      </c>
      <c r="AD652" s="13" t="s">
        <v>689</v>
      </c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</row>
    <row r="653" spans="1:40" ht="20.100000000000001" customHeight="1">
      <c r="A653" s="11">
        <v>652</v>
      </c>
      <c r="B653" s="12" t="s">
        <v>38</v>
      </c>
      <c r="C653" s="12" t="s">
        <v>38</v>
      </c>
      <c r="D653" s="13" t="s">
        <v>2312</v>
      </c>
      <c r="E653" s="11"/>
      <c r="F653" s="12"/>
      <c r="G653" s="13" t="str">
        <f>"9781601387059"</f>
        <v>9781601387059</v>
      </c>
      <c r="H653" s="13" t="s">
        <v>1761</v>
      </c>
      <c r="I653" s="11" t="s">
        <v>2784</v>
      </c>
      <c r="J653" s="11"/>
      <c r="K653" s="11"/>
      <c r="L653" s="11"/>
      <c r="M653" s="13" t="s">
        <v>2223</v>
      </c>
      <c r="N653" s="12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3" t="s">
        <v>2766</v>
      </c>
      <c r="AB653" s="13" t="s">
        <v>2685</v>
      </c>
      <c r="AC653" s="13" t="s">
        <v>2419</v>
      </c>
      <c r="AD653" s="13" t="s">
        <v>690</v>
      </c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</row>
    <row r="654" spans="1:40" ht="20.100000000000001" customHeight="1">
      <c r="A654" s="11">
        <v>653</v>
      </c>
      <c r="B654" s="12" t="s">
        <v>38</v>
      </c>
      <c r="C654" s="12" t="s">
        <v>38</v>
      </c>
      <c r="D654" s="13" t="s">
        <v>2312</v>
      </c>
      <c r="E654" s="11"/>
      <c r="F654" s="12"/>
      <c r="G654" s="13" t="str">
        <f>"9781601381781"</f>
        <v>9781601381781</v>
      </c>
      <c r="H654" s="13" t="s">
        <v>1762</v>
      </c>
      <c r="I654" s="11" t="s">
        <v>2777</v>
      </c>
      <c r="J654" s="11"/>
      <c r="K654" s="11"/>
      <c r="L654" s="11"/>
      <c r="M654" s="13" t="s">
        <v>2223</v>
      </c>
      <c r="N654" s="12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3" t="s">
        <v>2766</v>
      </c>
      <c r="AB654" s="13">
        <v>332.60300000000001</v>
      </c>
      <c r="AC654" s="13" t="s">
        <v>2419</v>
      </c>
      <c r="AD654" s="13" t="s">
        <v>691</v>
      </c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</row>
    <row r="655" spans="1:40" ht="20.100000000000001" customHeight="1">
      <c r="A655" s="11">
        <v>654</v>
      </c>
      <c r="B655" s="12" t="s">
        <v>38</v>
      </c>
      <c r="C655" s="12" t="s">
        <v>38</v>
      </c>
      <c r="D655" s="13" t="s">
        <v>2312</v>
      </c>
      <c r="E655" s="11"/>
      <c r="F655" s="12"/>
      <c r="G655" s="13" t="str">
        <f>"9781601387158"</f>
        <v>9781601387158</v>
      </c>
      <c r="H655" s="13" t="s">
        <v>1763</v>
      </c>
      <c r="I655" s="11" t="s">
        <v>2784</v>
      </c>
      <c r="J655" s="11"/>
      <c r="K655" s="11"/>
      <c r="L655" s="11"/>
      <c r="M655" s="13" t="s">
        <v>2223</v>
      </c>
      <c r="N655" s="12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3" t="s">
        <v>2766</v>
      </c>
      <c r="AB655" s="13">
        <v>368.00299999999999</v>
      </c>
      <c r="AC655" s="13" t="s">
        <v>2342</v>
      </c>
      <c r="AD655" s="13" t="s">
        <v>692</v>
      </c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</row>
    <row r="656" spans="1:40" ht="20.100000000000001" customHeight="1">
      <c r="A656" s="11">
        <v>655</v>
      </c>
      <c r="B656" s="12" t="s">
        <v>38</v>
      </c>
      <c r="C656" s="12" t="s">
        <v>38</v>
      </c>
      <c r="D656" s="13" t="s">
        <v>2312</v>
      </c>
      <c r="E656" s="11"/>
      <c r="F656" s="12"/>
      <c r="G656" s="13" t="str">
        <f>"9781601387172"</f>
        <v>9781601387172</v>
      </c>
      <c r="H656" s="13" t="s">
        <v>1764</v>
      </c>
      <c r="I656" s="11" t="s">
        <v>2784</v>
      </c>
      <c r="J656" s="11"/>
      <c r="K656" s="11"/>
      <c r="L656" s="11"/>
      <c r="M656" s="13" t="s">
        <v>2223</v>
      </c>
      <c r="N656" s="12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3" t="s">
        <v>2766</v>
      </c>
      <c r="AB656" s="13" t="s">
        <v>2686</v>
      </c>
      <c r="AC656" s="13" t="s">
        <v>2314</v>
      </c>
      <c r="AD656" s="13" t="s">
        <v>693</v>
      </c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</row>
    <row r="657" spans="1:40" ht="20.100000000000001" customHeight="1">
      <c r="A657" s="11">
        <v>656</v>
      </c>
      <c r="B657" s="12" t="s">
        <v>38</v>
      </c>
      <c r="C657" s="12" t="s">
        <v>38</v>
      </c>
      <c r="D657" s="13" t="s">
        <v>2312</v>
      </c>
      <c r="E657" s="11"/>
      <c r="F657" s="12"/>
      <c r="G657" s="13" t="str">
        <f>"9781601387424"</f>
        <v>9781601387424</v>
      </c>
      <c r="H657" s="13" t="s">
        <v>1765</v>
      </c>
      <c r="I657" s="11" t="s">
        <v>2783</v>
      </c>
      <c r="J657" s="11"/>
      <c r="K657" s="11"/>
      <c r="L657" s="11"/>
      <c r="M657" s="13" t="s">
        <v>2223</v>
      </c>
      <c r="N657" s="12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3" t="s">
        <v>2766</v>
      </c>
      <c r="AB657" s="13">
        <v>657.03</v>
      </c>
      <c r="AC657" s="13" t="s">
        <v>2314</v>
      </c>
      <c r="AD657" s="13" t="s">
        <v>694</v>
      </c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</row>
    <row r="658" spans="1:40" ht="20.100000000000001" customHeight="1">
      <c r="A658" s="11">
        <v>657</v>
      </c>
      <c r="B658" s="12" t="s">
        <v>38</v>
      </c>
      <c r="C658" s="12" t="s">
        <v>38</v>
      </c>
      <c r="D658" s="13" t="s">
        <v>2312</v>
      </c>
      <c r="E658" s="11"/>
      <c r="F658" s="12"/>
      <c r="G658" s="13" t="str">
        <f>"9781476618258"</f>
        <v>9781476618258</v>
      </c>
      <c r="H658" s="13" t="s">
        <v>1766</v>
      </c>
      <c r="I658" s="11" t="s">
        <v>2789</v>
      </c>
      <c r="J658" s="11"/>
      <c r="K658" s="11"/>
      <c r="L658" s="11"/>
      <c r="M658" s="13" t="s">
        <v>2187</v>
      </c>
      <c r="N658" s="12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3" t="s">
        <v>2766</v>
      </c>
      <c r="AB658" s="13" t="s">
        <v>2687</v>
      </c>
      <c r="AC658" s="13" t="s">
        <v>2318</v>
      </c>
      <c r="AD658" s="13" t="s">
        <v>695</v>
      </c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</row>
    <row r="659" spans="1:40" ht="20.100000000000001" customHeight="1">
      <c r="A659" s="11">
        <v>658</v>
      </c>
      <c r="B659" s="12" t="s">
        <v>38</v>
      </c>
      <c r="C659" s="12" t="s">
        <v>38</v>
      </c>
      <c r="D659" s="13" t="s">
        <v>2312</v>
      </c>
      <c r="E659" s="11"/>
      <c r="F659" s="12"/>
      <c r="G659" s="13" t="str">
        <f>"9781476605210"</f>
        <v>9781476605210</v>
      </c>
      <c r="H659" s="13" t="s">
        <v>1767</v>
      </c>
      <c r="I659" s="11" t="s">
        <v>2778</v>
      </c>
      <c r="J659" s="11"/>
      <c r="K659" s="11"/>
      <c r="L659" s="11"/>
      <c r="M659" s="13" t="s">
        <v>2187</v>
      </c>
      <c r="N659" s="12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3" t="s">
        <v>2766</v>
      </c>
      <c r="AB659" s="13" t="s">
        <v>2688</v>
      </c>
      <c r="AC659" s="13" t="s">
        <v>2328</v>
      </c>
      <c r="AD659" s="13" t="s">
        <v>696</v>
      </c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</row>
    <row r="660" spans="1:40" ht="20.100000000000001" customHeight="1">
      <c r="A660" s="11">
        <v>659</v>
      </c>
      <c r="B660" s="12" t="s">
        <v>38</v>
      </c>
      <c r="C660" s="12" t="s">
        <v>38</v>
      </c>
      <c r="D660" s="13" t="s">
        <v>2312</v>
      </c>
      <c r="E660" s="11"/>
      <c r="F660" s="12"/>
      <c r="G660" s="13" t="str">
        <f>"9781476610238"</f>
        <v>9781476610238</v>
      </c>
      <c r="H660" s="13" t="s">
        <v>1768</v>
      </c>
      <c r="I660" s="11" t="s">
        <v>2780</v>
      </c>
      <c r="J660" s="11"/>
      <c r="K660" s="11"/>
      <c r="L660" s="11"/>
      <c r="M660" s="13" t="s">
        <v>2187</v>
      </c>
      <c r="N660" s="12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3" t="s">
        <v>2766</v>
      </c>
      <c r="AB660" s="13" t="s">
        <v>2689</v>
      </c>
      <c r="AC660" s="13" t="s">
        <v>2323</v>
      </c>
      <c r="AD660" s="13" t="s">
        <v>697</v>
      </c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</row>
    <row r="661" spans="1:40" ht="20.100000000000001" customHeight="1">
      <c r="A661" s="11">
        <v>660</v>
      </c>
      <c r="B661" s="12" t="s">
        <v>38</v>
      </c>
      <c r="C661" s="12" t="s">
        <v>38</v>
      </c>
      <c r="D661" s="13" t="s">
        <v>2312</v>
      </c>
      <c r="E661" s="11"/>
      <c r="F661" s="12"/>
      <c r="G661" s="13" t="str">
        <f>"9781476621555"</f>
        <v>9781476621555</v>
      </c>
      <c r="H661" s="13" t="s">
        <v>1769</v>
      </c>
      <c r="I661" s="11" t="s">
        <v>2780</v>
      </c>
      <c r="J661" s="11"/>
      <c r="K661" s="11"/>
      <c r="L661" s="11"/>
      <c r="M661" s="13" t="s">
        <v>2224</v>
      </c>
      <c r="N661" s="12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3" t="s">
        <v>2766</v>
      </c>
      <c r="AB661" s="13">
        <v>282.09219999999999</v>
      </c>
      <c r="AC661" s="13" t="s">
        <v>2323</v>
      </c>
      <c r="AD661" s="13" t="s">
        <v>698</v>
      </c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</row>
    <row r="662" spans="1:40" ht="20.100000000000001" customHeight="1">
      <c r="A662" s="11">
        <v>661</v>
      </c>
      <c r="B662" s="12" t="s">
        <v>38</v>
      </c>
      <c r="C662" s="12" t="s">
        <v>38</v>
      </c>
      <c r="D662" s="13" t="s">
        <v>2312</v>
      </c>
      <c r="E662" s="11"/>
      <c r="F662" s="12"/>
      <c r="G662" s="13" t="str">
        <f>"9798216055440"</f>
        <v>9798216055440</v>
      </c>
      <c r="H662" s="13" t="s">
        <v>1770</v>
      </c>
      <c r="I662" s="11" t="s">
        <v>2789</v>
      </c>
      <c r="J662" s="11"/>
      <c r="K662" s="11"/>
      <c r="L662" s="11"/>
      <c r="M662" s="13" t="s">
        <v>2196</v>
      </c>
      <c r="N662" s="12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3" t="s">
        <v>2766</v>
      </c>
      <c r="AB662" s="13"/>
      <c r="AC662" s="13" t="s">
        <v>2393</v>
      </c>
      <c r="AD662" s="13" t="s">
        <v>699</v>
      </c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</row>
    <row r="663" spans="1:40" ht="20.100000000000001" customHeight="1">
      <c r="A663" s="11">
        <v>662</v>
      </c>
      <c r="B663" s="12" t="s">
        <v>38</v>
      </c>
      <c r="C663" s="12" t="s">
        <v>38</v>
      </c>
      <c r="D663" s="13" t="s">
        <v>2312</v>
      </c>
      <c r="E663" s="11"/>
      <c r="F663" s="12"/>
      <c r="G663" s="13" t="str">
        <f>"9780190237295"</f>
        <v>9780190237295</v>
      </c>
      <c r="H663" s="13" t="s">
        <v>1771</v>
      </c>
      <c r="I663" s="11" t="s">
        <v>2789</v>
      </c>
      <c r="J663" s="11"/>
      <c r="K663" s="11"/>
      <c r="L663" s="11"/>
      <c r="M663" s="13" t="s">
        <v>2188</v>
      </c>
      <c r="N663" s="12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3" t="s">
        <v>2766</v>
      </c>
      <c r="AB663" s="13">
        <v>320.9477</v>
      </c>
      <c r="AC663" s="13" t="s">
        <v>2406</v>
      </c>
      <c r="AD663" s="13" t="s">
        <v>700</v>
      </c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</row>
    <row r="664" spans="1:40" ht="20.100000000000001" customHeight="1">
      <c r="A664" s="11">
        <v>663</v>
      </c>
      <c r="B664" s="12" t="s">
        <v>38</v>
      </c>
      <c r="C664" s="12" t="s">
        <v>38</v>
      </c>
      <c r="D664" s="13" t="s">
        <v>2312</v>
      </c>
      <c r="E664" s="11"/>
      <c r="F664" s="12"/>
      <c r="G664" s="13" t="str">
        <f>"9781634827324"</f>
        <v>9781634827324</v>
      </c>
      <c r="H664" s="13" t="s">
        <v>1772</v>
      </c>
      <c r="I664" s="11" t="s">
        <v>2789</v>
      </c>
      <c r="J664" s="11"/>
      <c r="K664" s="11"/>
      <c r="L664" s="11"/>
      <c r="M664" s="13" t="s">
        <v>2225</v>
      </c>
      <c r="N664" s="12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3" t="s">
        <v>2766</v>
      </c>
      <c r="AB664" s="13">
        <v>1.42</v>
      </c>
      <c r="AC664" s="13" t="s">
        <v>2454</v>
      </c>
      <c r="AD664" s="13" t="s">
        <v>701</v>
      </c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</row>
    <row r="665" spans="1:40" ht="20.100000000000001" customHeight="1">
      <c r="A665" s="11">
        <v>664</v>
      </c>
      <c r="B665" s="12" t="s">
        <v>38</v>
      </c>
      <c r="C665" s="12" t="s">
        <v>38</v>
      </c>
      <c r="D665" s="13" t="s">
        <v>2312</v>
      </c>
      <c r="E665" s="11"/>
      <c r="F665" s="12"/>
      <c r="G665" s="13" t="str">
        <f>"9781634831406"</f>
        <v>9781634831406</v>
      </c>
      <c r="H665" s="13" t="s">
        <v>1773</v>
      </c>
      <c r="I665" s="11" t="s">
        <v>2789</v>
      </c>
      <c r="J665" s="11"/>
      <c r="K665" s="11"/>
      <c r="L665" s="11"/>
      <c r="M665" s="13" t="s">
        <v>2225</v>
      </c>
      <c r="N665" s="12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3" t="s">
        <v>2766</v>
      </c>
      <c r="AB665" s="13">
        <v>300</v>
      </c>
      <c r="AC665" s="13" t="s">
        <v>2455</v>
      </c>
      <c r="AD665" s="13" t="s">
        <v>702</v>
      </c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</row>
    <row r="666" spans="1:40" ht="20.100000000000001" customHeight="1">
      <c r="A666" s="11">
        <v>665</v>
      </c>
      <c r="B666" s="12" t="s">
        <v>38</v>
      </c>
      <c r="C666" s="12" t="s">
        <v>38</v>
      </c>
      <c r="D666" s="13" t="s">
        <v>2312</v>
      </c>
      <c r="E666" s="11"/>
      <c r="F666" s="12"/>
      <c r="G666" s="13" t="str">
        <f>"9789004301191"</f>
        <v>9789004301191</v>
      </c>
      <c r="H666" s="13" t="s">
        <v>1774</v>
      </c>
      <c r="I666" s="11" t="s">
        <v>2789</v>
      </c>
      <c r="J666" s="11"/>
      <c r="K666" s="11"/>
      <c r="L666" s="11"/>
      <c r="M666" s="13" t="s">
        <v>2184</v>
      </c>
      <c r="N666" s="12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3" t="s">
        <v>2766</v>
      </c>
      <c r="AB666" s="13" t="s">
        <v>2690</v>
      </c>
      <c r="AC666" s="13" t="s">
        <v>2323</v>
      </c>
      <c r="AD666" s="13" t="s">
        <v>703</v>
      </c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</row>
    <row r="667" spans="1:40" ht="20.100000000000001" customHeight="1">
      <c r="A667" s="11">
        <v>666</v>
      </c>
      <c r="B667" s="12" t="s">
        <v>38</v>
      </c>
      <c r="C667" s="12" t="s">
        <v>38</v>
      </c>
      <c r="D667" s="13" t="s">
        <v>2312</v>
      </c>
      <c r="E667" s="11"/>
      <c r="F667" s="12"/>
      <c r="G667" s="13" t="str">
        <f>"9789004284784"</f>
        <v>9789004284784</v>
      </c>
      <c r="H667" s="13" t="s">
        <v>1775</v>
      </c>
      <c r="I667" s="11" t="s">
        <v>2789</v>
      </c>
      <c r="J667" s="11"/>
      <c r="K667" s="11"/>
      <c r="L667" s="11"/>
      <c r="M667" s="13" t="s">
        <v>2184</v>
      </c>
      <c r="N667" s="12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3" t="s">
        <v>2766</v>
      </c>
      <c r="AB667" s="13" t="s">
        <v>2691</v>
      </c>
      <c r="AC667" s="13" t="s">
        <v>2313</v>
      </c>
      <c r="AD667" s="13" t="s">
        <v>704</v>
      </c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</row>
    <row r="668" spans="1:40" ht="20.100000000000001" customHeight="1">
      <c r="A668" s="11">
        <v>667</v>
      </c>
      <c r="B668" s="12" t="s">
        <v>38</v>
      </c>
      <c r="C668" s="12" t="s">
        <v>38</v>
      </c>
      <c r="D668" s="13" t="s">
        <v>2312</v>
      </c>
      <c r="E668" s="11"/>
      <c r="F668" s="12"/>
      <c r="G668" s="13" t="str">
        <f>"9781118893692"</f>
        <v>9781118893692</v>
      </c>
      <c r="H668" s="13" t="s">
        <v>1776</v>
      </c>
      <c r="I668" s="11" t="s">
        <v>2789</v>
      </c>
      <c r="J668" s="11"/>
      <c r="K668" s="11"/>
      <c r="L668" s="11"/>
      <c r="M668" s="13" t="s">
        <v>2176</v>
      </c>
      <c r="N668" s="12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3" t="s">
        <v>2766</v>
      </c>
      <c r="AB668" s="13">
        <v>658.4</v>
      </c>
      <c r="AC668" s="13" t="s">
        <v>2456</v>
      </c>
      <c r="AD668" s="13" t="s">
        <v>705</v>
      </c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</row>
    <row r="669" spans="1:40" ht="20.100000000000001" customHeight="1">
      <c r="A669" s="11">
        <v>668</v>
      </c>
      <c r="B669" s="12" t="s">
        <v>38</v>
      </c>
      <c r="C669" s="12" t="s">
        <v>38</v>
      </c>
      <c r="D669" s="13" t="s">
        <v>2312</v>
      </c>
      <c r="E669" s="11"/>
      <c r="F669" s="12"/>
      <c r="G669" s="13" t="str">
        <f>"9781476608532"</f>
        <v>9781476608532</v>
      </c>
      <c r="H669" s="13" t="s">
        <v>1777</v>
      </c>
      <c r="I669" s="11" t="s">
        <v>2778</v>
      </c>
      <c r="J669" s="11"/>
      <c r="K669" s="11"/>
      <c r="L669" s="11"/>
      <c r="M669" s="13" t="s">
        <v>2187</v>
      </c>
      <c r="N669" s="12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3" t="s">
        <v>2766</v>
      </c>
      <c r="AB669" s="13"/>
      <c r="AC669" s="13" t="s">
        <v>2318</v>
      </c>
      <c r="AD669" s="13" t="s">
        <v>706</v>
      </c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</row>
    <row r="670" spans="1:40" ht="20.100000000000001" customHeight="1">
      <c r="A670" s="11">
        <v>669</v>
      </c>
      <c r="B670" s="12" t="s">
        <v>38</v>
      </c>
      <c r="C670" s="12" t="s">
        <v>38</v>
      </c>
      <c r="D670" s="13" t="s">
        <v>2312</v>
      </c>
      <c r="E670" s="11"/>
      <c r="F670" s="12"/>
      <c r="G670" s="13" t="str">
        <f>"9781476609577"</f>
        <v>9781476609577</v>
      </c>
      <c r="H670" s="13" t="s">
        <v>1778</v>
      </c>
      <c r="I670" s="11" t="s">
        <v>2778</v>
      </c>
      <c r="J670" s="11"/>
      <c r="K670" s="11"/>
      <c r="L670" s="11"/>
      <c r="M670" s="13" t="s">
        <v>2187</v>
      </c>
      <c r="N670" s="12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3" t="s">
        <v>2766</v>
      </c>
      <c r="AB670" s="13" t="s">
        <v>2692</v>
      </c>
      <c r="AC670" s="13" t="s">
        <v>2457</v>
      </c>
      <c r="AD670" s="13" t="s">
        <v>707</v>
      </c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</row>
    <row r="671" spans="1:40" ht="20.100000000000001" customHeight="1">
      <c r="A671" s="11">
        <v>670</v>
      </c>
      <c r="B671" s="12" t="s">
        <v>38</v>
      </c>
      <c r="C671" s="12" t="s">
        <v>38</v>
      </c>
      <c r="D671" s="13" t="s">
        <v>2312</v>
      </c>
      <c r="E671" s="11"/>
      <c r="F671" s="12"/>
      <c r="G671" s="13" t="str">
        <f>"9781476609638"</f>
        <v>9781476609638</v>
      </c>
      <c r="H671" s="13" t="s">
        <v>1779</v>
      </c>
      <c r="I671" s="11" t="s">
        <v>2777</v>
      </c>
      <c r="J671" s="11"/>
      <c r="K671" s="11"/>
      <c r="L671" s="11"/>
      <c r="M671" s="13" t="s">
        <v>2187</v>
      </c>
      <c r="N671" s="12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3" t="s">
        <v>2766</v>
      </c>
      <c r="AB671" s="13" t="s">
        <v>2693</v>
      </c>
      <c r="AC671" s="13" t="s">
        <v>2317</v>
      </c>
      <c r="AD671" s="13" t="s">
        <v>708</v>
      </c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</row>
    <row r="672" spans="1:40" ht="20.100000000000001" customHeight="1">
      <c r="A672" s="11">
        <v>671</v>
      </c>
      <c r="B672" s="12" t="s">
        <v>38</v>
      </c>
      <c r="C672" s="12" t="s">
        <v>38</v>
      </c>
      <c r="D672" s="13" t="s">
        <v>2312</v>
      </c>
      <c r="E672" s="11"/>
      <c r="F672" s="12"/>
      <c r="G672" s="13" t="str">
        <f>"9781634829465"</f>
        <v>9781634829465</v>
      </c>
      <c r="H672" s="13" t="s">
        <v>1780</v>
      </c>
      <c r="I672" s="11" t="s">
        <v>2789</v>
      </c>
      <c r="J672" s="11"/>
      <c r="K672" s="11"/>
      <c r="L672" s="11"/>
      <c r="M672" s="13" t="s">
        <v>2225</v>
      </c>
      <c r="N672" s="12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3" t="s">
        <v>2766</v>
      </c>
      <c r="AB672" s="13">
        <v>362.10834999999997</v>
      </c>
      <c r="AC672" s="13" t="s">
        <v>2458</v>
      </c>
      <c r="AD672" s="13" t="s">
        <v>709</v>
      </c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</row>
    <row r="673" spans="1:40" ht="20.100000000000001" customHeight="1">
      <c r="A673" s="11">
        <v>672</v>
      </c>
      <c r="B673" s="12" t="s">
        <v>38</v>
      </c>
      <c r="C673" s="12" t="s">
        <v>38</v>
      </c>
      <c r="D673" s="13" t="s">
        <v>2312</v>
      </c>
      <c r="E673" s="11"/>
      <c r="F673" s="12"/>
      <c r="G673" s="13" t="str">
        <f>"9781476607351"</f>
        <v>9781476607351</v>
      </c>
      <c r="H673" s="13" t="s">
        <v>1781</v>
      </c>
      <c r="I673" s="11" t="s">
        <v>2773</v>
      </c>
      <c r="J673" s="11"/>
      <c r="K673" s="11"/>
      <c r="L673" s="11"/>
      <c r="M673" s="13" t="s">
        <v>2187</v>
      </c>
      <c r="N673" s="12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3" t="s">
        <v>2766</v>
      </c>
      <c r="AB673" s="13">
        <v>398.9</v>
      </c>
      <c r="AC673" s="13" t="s">
        <v>2318</v>
      </c>
      <c r="AD673" s="13" t="s">
        <v>710</v>
      </c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</row>
    <row r="674" spans="1:40" ht="20.100000000000001" customHeight="1">
      <c r="A674" s="11">
        <v>673</v>
      </c>
      <c r="B674" s="12" t="s">
        <v>38</v>
      </c>
      <c r="C674" s="12" t="s">
        <v>38</v>
      </c>
      <c r="D674" s="13" t="s">
        <v>2312</v>
      </c>
      <c r="E674" s="11"/>
      <c r="F674" s="12"/>
      <c r="G674" s="13" t="str">
        <f>"9789004281929"</f>
        <v>9789004281929</v>
      </c>
      <c r="H674" s="13" t="s">
        <v>1782</v>
      </c>
      <c r="I674" s="11" t="s">
        <v>2789</v>
      </c>
      <c r="J674" s="11"/>
      <c r="K674" s="11"/>
      <c r="L674" s="11"/>
      <c r="M674" s="13" t="s">
        <v>2184</v>
      </c>
      <c r="N674" s="12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3" t="s">
        <v>2766</v>
      </c>
      <c r="AB674" s="13"/>
      <c r="AC674" s="13" t="s">
        <v>2345</v>
      </c>
      <c r="AD674" s="13" t="s">
        <v>711</v>
      </c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</row>
    <row r="675" spans="1:40" ht="20.100000000000001" customHeight="1">
      <c r="A675" s="11">
        <v>674</v>
      </c>
      <c r="B675" s="12" t="s">
        <v>38</v>
      </c>
      <c r="C675" s="12" t="s">
        <v>38</v>
      </c>
      <c r="D675" s="13" t="s">
        <v>2312</v>
      </c>
      <c r="E675" s="11"/>
      <c r="F675" s="12"/>
      <c r="G675" s="13" t="str">
        <f>"9780190223816"</f>
        <v>9780190223816</v>
      </c>
      <c r="H675" s="13" t="s">
        <v>1783</v>
      </c>
      <c r="I675" s="11" t="s">
        <v>2789</v>
      </c>
      <c r="J675" s="11"/>
      <c r="K675" s="11"/>
      <c r="L675" s="11"/>
      <c r="M675" s="13" t="s">
        <v>2188</v>
      </c>
      <c r="N675" s="12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3" t="s">
        <v>2766</v>
      </c>
      <c r="AB675" s="13" t="s">
        <v>2694</v>
      </c>
      <c r="AC675" s="13" t="s">
        <v>2327</v>
      </c>
      <c r="AD675" s="13" t="s">
        <v>712</v>
      </c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</row>
    <row r="676" spans="1:40" ht="20.100000000000001" customHeight="1">
      <c r="A676" s="11">
        <v>675</v>
      </c>
      <c r="B676" s="12" t="s">
        <v>38</v>
      </c>
      <c r="C676" s="12" t="s">
        <v>38</v>
      </c>
      <c r="D676" s="13" t="s">
        <v>2312</v>
      </c>
      <c r="E676" s="11"/>
      <c r="F676" s="12"/>
      <c r="G676" s="13" t="str">
        <f>"9789047404835"</f>
        <v>9789047404835</v>
      </c>
      <c r="H676" s="13" t="s">
        <v>1784</v>
      </c>
      <c r="I676" s="11" t="s">
        <v>2774</v>
      </c>
      <c r="J676" s="11"/>
      <c r="K676" s="11"/>
      <c r="L676" s="11"/>
      <c r="M676" s="13" t="s">
        <v>2184</v>
      </c>
      <c r="N676" s="12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3" t="s">
        <v>2766</v>
      </c>
      <c r="AB676" s="13"/>
      <c r="AC676" s="13" t="s">
        <v>2313</v>
      </c>
      <c r="AD676" s="13" t="s">
        <v>713</v>
      </c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</row>
    <row r="677" spans="1:40" ht="20.100000000000001" customHeight="1">
      <c r="A677" s="11">
        <v>676</v>
      </c>
      <c r="B677" s="12" t="s">
        <v>38</v>
      </c>
      <c r="C677" s="12" t="s">
        <v>38</v>
      </c>
      <c r="D677" s="13" t="s">
        <v>2312</v>
      </c>
      <c r="E677" s="11"/>
      <c r="F677" s="12"/>
      <c r="G677" s="13" t="str">
        <f>"9789047404842"</f>
        <v>9789047404842</v>
      </c>
      <c r="H677" s="13" t="s">
        <v>1785</v>
      </c>
      <c r="I677" s="11" t="s">
        <v>2774</v>
      </c>
      <c r="J677" s="11"/>
      <c r="K677" s="11"/>
      <c r="L677" s="11"/>
      <c r="M677" s="13" t="s">
        <v>2184</v>
      </c>
      <c r="N677" s="12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3" t="s">
        <v>2766</v>
      </c>
      <c r="AB677" s="13" t="s">
        <v>2695</v>
      </c>
      <c r="AC677" s="13" t="s">
        <v>2317</v>
      </c>
      <c r="AD677" s="13" t="s">
        <v>714</v>
      </c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</row>
    <row r="678" spans="1:40" ht="20.100000000000001" customHeight="1">
      <c r="A678" s="11">
        <v>677</v>
      </c>
      <c r="B678" s="12" t="s">
        <v>38</v>
      </c>
      <c r="C678" s="12" t="s">
        <v>38</v>
      </c>
      <c r="D678" s="13" t="s">
        <v>2312</v>
      </c>
      <c r="E678" s="11"/>
      <c r="F678" s="12"/>
      <c r="G678" s="13" t="str">
        <f>"9781476617152"</f>
        <v>9781476617152</v>
      </c>
      <c r="H678" s="13" t="s">
        <v>1786</v>
      </c>
      <c r="I678" s="11" t="s">
        <v>2789</v>
      </c>
      <c r="J678" s="11"/>
      <c r="K678" s="11"/>
      <c r="L678" s="11"/>
      <c r="M678" s="13" t="s">
        <v>2187</v>
      </c>
      <c r="N678" s="12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3" t="s">
        <v>2766</v>
      </c>
      <c r="AB678" s="13" t="s">
        <v>2696</v>
      </c>
      <c r="AC678" s="13" t="s">
        <v>2318</v>
      </c>
      <c r="AD678" s="13" t="s">
        <v>715</v>
      </c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</row>
    <row r="679" spans="1:40" ht="20.100000000000001" customHeight="1">
      <c r="A679" s="11">
        <v>678</v>
      </c>
      <c r="B679" s="12" t="s">
        <v>38</v>
      </c>
      <c r="C679" s="12" t="s">
        <v>38</v>
      </c>
      <c r="D679" s="13" t="s">
        <v>2312</v>
      </c>
      <c r="E679" s="11"/>
      <c r="F679" s="12"/>
      <c r="G679" s="13" t="str">
        <f>"9781452265940"</f>
        <v>9781452265940</v>
      </c>
      <c r="H679" s="13" t="s">
        <v>1787</v>
      </c>
      <c r="I679" s="11" t="s">
        <v>2780</v>
      </c>
      <c r="J679" s="11"/>
      <c r="K679" s="11"/>
      <c r="L679" s="11"/>
      <c r="M679" s="13" t="s">
        <v>2199</v>
      </c>
      <c r="N679" s="12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3" t="s">
        <v>2766</v>
      </c>
      <c r="AB679" s="13">
        <v>115.03</v>
      </c>
      <c r="AC679" s="13" t="s">
        <v>2325</v>
      </c>
      <c r="AD679" s="13" t="s">
        <v>716</v>
      </c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</row>
    <row r="680" spans="1:40" ht="20.100000000000001" customHeight="1">
      <c r="A680" s="11">
        <v>679</v>
      </c>
      <c r="B680" s="12" t="s">
        <v>38</v>
      </c>
      <c r="C680" s="12" t="s">
        <v>38</v>
      </c>
      <c r="D680" s="13" t="s">
        <v>2312</v>
      </c>
      <c r="E680" s="11"/>
      <c r="F680" s="12"/>
      <c r="G680" s="13" t="str">
        <f>"9780827609754"</f>
        <v>9780827609754</v>
      </c>
      <c r="H680" s="13" t="s">
        <v>1788</v>
      </c>
      <c r="I680" s="11" t="s">
        <v>2777</v>
      </c>
      <c r="J680" s="11"/>
      <c r="K680" s="11"/>
      <c r="L680" s="11"/>
      <c r="M680" s="13" t="s">
        <v>2200</v>
      </c>
      <c r="N680" s="12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3" t="s">
        <v>2766</v>
      </c>
      <c r="AB680" s="13" t="s">
        <v>2697</v>
      </c>
      <c r="AC680" s="13" t="s">
        <v>2317</v>
      </c>
      <c r="AD680" s="13" t="s">
        <v>717</v>
      </c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</row>
    <row r="681" spans="1:40" ht="20.100000000000001" customHeight="1">
      <c r="A681" s="11">
        <v>680</v>
      </c>
      <c r="B681" s="12" t="s">
        <v>38</v>
      </c>
      <c r="C681" s="12" t="s">
        <v>38</v>
      </c>
      <c r="D681" s="13" t="s">
        <v>2312</v>
      </c>
      <c r="E681" s="11"/>
      <c r="F681" s="12"/>
      <c r="G681" s="13" t="str">
        <f>"9780803266872"</f>
        <v>9780803266872</v>
      </c>
      <c r="H681" s="13" t="s">
        <v>1789</v>
      </c>
      <c r="I681" s="11" t="s">
        <v>2788</v>
      </c>
      <c r="J681" s="11"/>
      <c r="K681" s="11"/>
      <c r="L681" s="11"/>
      <c r="M681" s="13" t="s">
        <v>2226</v>
      </c>
      <c r="N681" s="12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3" t="s">
        <v>2766</v>
      </c>
      <c r="AB681" s="13" t="s">
        <v>2698</v>
      </c>
      <c r="AC681" s="13" t="s">
        <v>2459</v>
      </c>
      <c r="AD681" s="13" t="s">
        <v>718</v>
      </c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</row>
    <row r="682" spans="1:40" ht="20.100000000000001" customHeight="1">
      <c r="A682" s="11">
        <v>681</v>
      </c>
      <c r="B682" s="12" t="s">
        <v>38</v>
      </c>
      <c r="C682" s="12" t="s">
        <v>38</v>
      </c>
      <c r="D682" s="13" t="s">
        <v>2312</v>
      </c>
      <c r="E682" s="11"/>
      <c r="F682" s="12"/>
      <c r="G682" s="13" t="str">
        <f>"9780199934492"</f>
        <v>9780199934492</v>
      </c>
      <c r="H682" s="13" t="s">
        <v>1790</v>
      </c>
      <c r="I682" s="11" t="s">
        <v>2786</v>
      </c>
      <c r="J682" s="11"/>
      <c r="K682" s="11"/>
      <c r="L682" s="11"/>
      <c r="M682" s="13" t="s">
        <v>2188</v>
      </c>
      <c r="N682" s="12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3" t="s">
        <v>2766</v>
      </c>
      <c r="AB682" s="13">
        <v>332.110973</v>
      </c>
      <c r="AC682" s="13" t="s">
        <v>2419</v>
      </c>
      <c r="AD682" s="13" t="s">
        <v>719</v>
      </c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</row>
    <row r="683" spans="1:40" ht="20.100000000000001" customHeight="1">
      <c r="A683" s="11">
        <v>682</v>
      </c>
      <c r="B683" s="12" t="s">
        <v>38</v>
      </c>
      <c r="C683" s="12" t="s">
        <v>38</v>
      </c>
      <c r="D683" s="13" t="s">
        <v>2312</v>
      </c>
      <c r="E683" s="11"/>
      <c r="F683" s="12"/>
      <c r="G683" s="13" t="str">
        <f>"9781613001011"</f>
        <v>9781613001011</v>
      </c>
      <c r="H683" s="13" t="s">
        <v>1791</v>
      </c>
      <c r="I683" s="11" t="s">
        <v>2778</v>
      </c>
      <c r="J683" s="11"/>
      <c r="K683" s="11"/>
      <c r="L683" s="11"/>
      <c r="M683" s="13" t="s">
        <v>2227</v>
      </c>
      <c r="N683" s="12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3" t="s">
        <v>2766</v>
      </c>
      <c r="AB683" s="13">
        <v>628.10299999999995</v>
      </c>
      <c r="AC683" s="13" t="s">
        <v>2460</v>
      </c>
      <c r="AD683" s="13" t="s">
        <v>720</v>
      </c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</row>
    <row r="684" spans="1:40" ht="20.100000000000001" customHeight="1">
      <c r="A684" s="11">
        <v>683</v>
      </c>
      <c r="B684" s="12" t="s">
        <v>38</v>
      </c>
      <c r="C684" s="12" t="s">
        <v>38</v>
      </c>
      <c r="D684" s="13" t="s">
        <v>2312</v>
      </c>
      <c r="E684" s="11"/>
      <c r="F684" s="12"/>
      <c r="G684" s="13" t="str">
        <f>"9780986005855"</f>
        <v>9780986005855</v>
      </c>
      <c r="H684" s="13" t="s">
        <v>1792</v>
      </c>
      <c r="I684" s="11" t="s">
        <v>2773</v>
      </c>
      <c r="J684" s="11"/>
      <c r="K684" s="11"/>
      <c r="L684" s="11"/>
      <c r="M684" s="13" t="s">
        <v>2228</v>
      </c>
      <c r="N684" s="12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3" t="s">
        <v>2766</v>
      </c>
      <c r="AB684" s="13"/>
      <c r="AC684" s="13" t="s">
        <v>2325</v>
      </c>
      <c r="AD684" s="13" t="s">
        <v>721</v>
      </c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</row>
    <row r="685" spans="1:40" ht="20.100000000000001" customHeight="1">
      <c r="A685" s="11">
        <v>684</v>
      </c>
      <c r="B685" s="12" t="s">
        <v>38</v>
      </c>
      <c r="C685" s="12" t="s">
        <v>38</v>
      </c>
      <c r="D685" s="13" t="s">
        <v>2312</v>
      </c>
      <c r="E685" s="11"/>
      <c r="F685" s="12"/>
      <c r="G685" s="13" t="str">
        <f>"9780801454592"</f>
        <v>9780801454592</v>
      </c>
      <c r="H685" s="13" t="s">
        <v>1793</v>
      </c>
      <c r="I685" s="11" t="s">
        <v>2788</v>
      </c>
      <c r="J685" s="11"/>
      <c r="K685" s="11"/>
      <c r="L685" s="11"/>
      <c r="M685" s="13" t="s">
        <v>2229</v>
      </c>
      <c r="N685" s="12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3" t="s">
        <v>2766</v>
      </c>
      <c r="AB685" s="13">
        <v>344.73009999999999</v>
      </c>
      <c r="AC685" s="13" t="s">
        <v>2334</v>
      </c>
      <c r="AD685" s="13" t="s">
        <v>722</v>
      </c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</row>
    <row r="686" spans="1:40" ht="20.100000000000001" customHeight="1">
      <c r="A686" s="11">
        <v>685</v>
      </c>
      <c r="B686" s="12" t="s">
        <v>38</v>
      </c>
      <c r="C686" s="12" t="s">
        <v>38</v>
      </c>
      <c r="D686" s="13" t="s">
        <v>2312</v>
      </c>
      <c r="E686" s="11"/>
      <c r="F686" s="12"/>
      <c r="G686" s="13" t="str">
        <f>"9780801454929"</f>
        <v>9780801454929</v>
      </c>
      <c r="H686" s="13" t="s">
        <v>1794</v>
      </c>
      <c r="I686" s="11" t="s">
        <v>2788</v>
      </c>
      <c r="J686" s="11"/>
      <c r="K686" s="11"/>
      <c r="L686" s="11"/>
      <c r="M686" s="13" t="s">
        <v>2229</v>
      </c>
      <c r="N686" s="12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3" t="s">
        <v>2766</v>
      </c>
      <c r="AB686" s="13" t="s">
        <v>2699</v>
      </c>
      <c r="AC686" s="13" t="s">
        <v>2420</v>
      </c>
      <c r="AD686" s="13" t="s">
        <v>723</v>
      </c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</row>
    <row r="687" spans="1:40" ht="20.100000000000001" customHeight="1">
      <c r="A687" s="11">
        <v>686</v>
      </c>
      <c r="B687" s="12" t="s">
        <v>38</v>
      </c>
      <c r="C687" s="12" t="s">
        <v>38</v>
      </c>
      <c r="D687" s="13" t="s">
        <v>2312</v>
      </c>
      <c r="E687" s="11"/>
      <c r="F687" s="12"/>
      <c r="G687" s="13" t="str">
        <f>"9788817368643"</f>
        <v>9788817368643</v>
      </c>
      <c r="H687" s="13" t="s">
        <v>1795</v>
      </c>
      <c r="I687" s="11" t="s">
        <v>2785</v>
      </c>
      <c r="J687" s="11"/>
      <c r="K687" s="11"/>
      <c r="L687" s="11"/>
      <c r="M687" s="13" t="s">
        <v>2230</v>
      </c>
      <c r="N687" s="12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3" t="s">
        <v>2766</v>
      </c>
      <c r="AB687" s="13" t="s">
        <v>2700</v>
      </c>
      <c r="AC687" s="13" t="s">
        <v>2461</v>
      </c>
      <c r="AD687" s="13" t="s">
        <v>724</v>
      </c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</row>
    <row r="688" spans="1:40" ht="20.100000000000001" customHeight="1">
      <c r="A688" s="11">
        <v>687</v>
      </c>
      <c r="B688" s="12" t="s">
        <v>38</v>
      </c>
      <c r="C688" s="12" t="s">
        <v>38</v>
      </c>
      <c r="D688" s="13" t="s">
        <v>2312</v>
      </c>
      <c r="E688" s="11"/>
      <c r="F688" s="12"/>
      <c r="G688" s="13" t="str">
        <f>"9788817370899"</f>
        <v>9788817370899</v>
      </c>
      <c r="H688" s="13" t="s">
        <v>1796</v>
      </c>
      <c r="I688" s="11" t="s">
        <v>2785</v>
      </c>
      <c r="J688" s="11"/>
      <c r="K688" s="11"/>
      <c r="L688" s="11"/>
      <c r="M688" s="13" t="s">
        <v>2230</v>
      </c>
      <c r="N688" s="12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3" t="s">
        <v>2766</v>
      </c>
      <c r="AB688" s="13">
        <v>333.79</v>
      </c>
      <c r="AC688" s="13" t="s">
        <v>2462</v>
      </c>
      <c r="AD688" s="13" t="s">
        <v>725</v>
      </c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</row>
    <row r="689" spans="1:40" ht="20.100000000000001" customHeight="1">
      <c r="A689" s="11">
        <v>688</v>
      </c>
      <c r="B689" s="12" t="s">
        <v>38</v>
      </c>
      <c r="C689" s="12" t="s">
        <v>38</v>
      </c>
      <c r="D689" s="13" t="s">
        <v>2312</v>
      </c>
      <c r="E689" s="11"/>
      <c r="F689" s="12"/>
      <c r="G689" s="13" t="str">
        <f>"9780881737172"</f>
        <v>9780881737172</v>
      </c>
      <c r="H689" s="13" t="s">
        <v>1797</v>
      </c>
      <c r="I689" s="11" t="s">
        <v>2788</v>
      </c>
      <c r="J689" s="11"/>
      <c r="K689" s="11"/>
      <c r="L689" s="11"/>
      <c r="M689" s="13" t="s">
        <v>2230</v>
      </c>
      <c r="N689" s="12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3" t="s">
        <v>2766</v>
      </c>
      <c r="AB689" s="13">
        <v>696</v>
      </c>
      <c r="AC689" s="13" t="s">
        <v>2463</v>
      </c>
      <c r="AD689" s="13" t="s">
        <v>726</v>
      </c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</row>
    <row r="690" spans="1:40" ht="20.100000000000001" customHeight="1">
      <c r="A690" s="11">
        <v>689</v>
      </c>
      <c r="B690" s="12" t="s">
        <v>38</v>
      </c>
      <c r="C690" s="12" t="s">
        <v>38</v>
      </c>
      <c r="D690" s="13" t="s">
        <v>2312</v>
      </c>
      <c r="E690" s="11"/>
      <c r="F690" s="12"/>
      <c r="G690" s="13" t="str">
        <f>"9781592371709"</f>
        <v>9781592371709</v>
      </c>
      <c r="H690" s="13" t="s">
        <v>1798</v>
      </c>
      <c r="I690" s="11" t="s">
        <v>2774</v>
      </c>
      <c r="J690" s="11"/>
      <c r="K690" s="11"/>
      <c r="L690" s="11"/>
      <c r="M690" s="13" t="s">
        <v>2231</v>
      </c>
      <c r="N690" s="12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3" t="s">
        <v>2766</v>
      </c>
      <c r="AB690" s="13" t="s">
        <v>2701</v>
      </c>
      <c r="AC690" s="13" t="s">
        <v>2399</v>
      </c>
      <c r="AD690" s="13" t="s">
        <v>727</v>
      </c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</row>
    <row r="691" spans="1:40" ht="20.100000000000001" customHeight="1">
      <c r="A691" s="11">
        <v>690</v>
      </c>
      <c r="B691" s="12" t="s">
        <v>38</v>
      </c>
      <c r="C691" s="12" t="s">
        <v>38</v>
      </c>
      <c r="D691" s="13" t="s">
        <v>2312</v>
      </c>
      <c r="E691" s="11"/>
      <c r="F691" s="12"/>
      <c r="G691" s="13" t="str">
        <f>"9781592371723"</f>
        <v>9781592371723</v>
      </c>
      <c r="H691" s="13" t="s">
        <v>1799</v>
      </c>
      <c r="I691" s="11" t="s">
        <v>2774</v>
      </c>
      <c r="J691" s="11"/>
      <c r="K691" s="11"/>
      <c r="L691" s="11"/>
      <c r="M691" s="13" t="s">
        <v>2231</v>
      </c>
      <c r="N691" s="12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3" t="s">
        <v>2766</v>
      </c>
      <c r="AB691" s="13">
        <v>355</v>
      </c>
      <c r="AC691" s="13" t="s">
        <v>2464</v>
      </c>
      <c r="AD691" s="13" t="s">
        <v>728</v>
      </c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</row>
    <row r="692" spans="1:40" ht="20.100000000000001" customHeight="1">
      <c r="A692" s="11">
        <v>691</v>
      </c>
      <c r="B692" s="12" t="s">
        <v>38</v>
      </c>
      <c r="C692" s="12" t="s">
        <v>38</v>
      </c>
      <c r="D692" s="13" t="s">
        <v>2312</v>
      </c>
      <c r="E692" s="11"/>
      <c r="F692" s="12"/>
      <c r="G692" s="13" t="str">
        <f>"9781592371716"</f>
        <v>9781592371716</v>
      </c>
      <c r="H692" s="13" t="s">
        <v>1800</v>
      </c>
      <c r="I692" s="11" t="s">
        <v>2774</v>
      </c>
      <c r="J692" s="11"/>
      <c r="K692" s="11"/>
      <c r="L692" s="11"/>
      <c r="M692" s="13" t="s">
        <v>2231</v>
      </c>
      <c r="N692" s="12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3" t="s">
        <v>2766</v>
      </c>
      <c r="AB692" s="13" t="s">
        <v>2702</v>
      </c>
      <c r="AC692" s="13" t="s">
        <v>2351</v>
      </c>
      <c r="AD692" s="13" t="s">
        <v>729</v>
      </c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</row>
    <row r="693" spans="1:40" ht="20.100000000000001" customHeight="1">
      <c r="A693" s="11">
        <v>692</v>
      </c>
      <c r="B693" s="12" t="s">
        <v>38</v>
      </c>
      <c r="C693" s="12" t="s">
        <v>38</v>
      </c>
      <c r="D693" s="13" t="s">
        <v>2312</v>
      </c>
      <c r="E693" s="11"/>
      <c r="F693" s="12"/>
      <c r="G693" s="13" t="str">
        <f>"9781592372294"</f>
        <v>9781592372294</v>
      </c>
      <c r="H693" s="13" t="s">
        <v>1801</v>
      </c>
      <c r="I693" s="11" t="s">
        <v>2774</v>
      </c>
      <c r="J693" s="11"/>
      <c r="K693" s="11"/>
      <c r="L693" s="11"/>
      <c r="M693" s="13" t="s">
        <v>2231</v>
      </c>
      <c r="N693" s="12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3" t="s">
        <v>2766</v>
      </c>
      <c r="AB693" s="13">
        <v>920.06</v>
      </c>
      <c r="AC693" s="13" t="s">
        <v>2317</v>
      </c>
      <c r="AD693" s="13" t="s">
        <v>730</v>
      </c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</row>
    <row r="694" spans="1:40" ht="20.100000000000001" customHeight="1">
      <c r="A694" s="11">
        <v>693</v>
      </c>
      <c r="B694" s="12" t="s">
        <v>38</v>
      </c>
      <c r="C694" s="12" t="s">
        <v>38</v>
      </c>
      <c r="D694" s="13" t="s">
        <v>2312</v>
      </c>
      <c r="E694" s="11"/>
      <c r="F694" s="12"/>
      <c r="G694" s="13" t="str">
        <f>"9781592373024"</f>
        <v>9781592373024</v>
      </c>
      <c r="H694" s="13" t="s">
        <v>1802</v>
      </c>
      <c r="I694" s="11" t="s">
        <v>2780</v>
      </c>
      <c r="J694" s="11"/>
      <c r="K694" s="11"/>
      <c r="L694" s="11"/>
      <c r="M694" s="13" t="s">
        <v>2231</v>
      </c>
      <c r="N694" s="12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3" t="s">
        <v>2766</v>
      </c>
      <c r="AB694" s="13">
        <v>810.9</v>
      </c>
      <c r="AC694" s="13" t="s">
        <v>2313</v>
      </c>
      <c r="AD694" s="13" t="s">
        <v>731</v>
      </c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</row>
    <row r="695" spans="1:40" ht="20.100000000000001" customHeight="1">
      <c r="A695" s="11">
        <v>694</v>
      </c>
      <c r="B695" s="12" t="s">
        <v>38</v>
      </c>
      <c r="C695" s="12" t="s">
        <v>38</v>
      </c>
      <c r="D695" s="13" t="s">
        <v>2312</v>
      </c>
      <c r="E695" s="11"/>
      <c r="F695" s="12"/>
      <c r="G695" s="13" t="str">
        <f>"9781619251519"</f>
        <v>9781619251519</v>
      </c>
      <c r="H695" s="13" t="s">
        <v>1803</v>
      </c>
      <c r="I695" s="11" t="s">
        <v>2786</v>
      </c>
      <c r="J695" s="11"/>
      <c r="K695" s="11"/>
      <c r="L695" s="11"/>
      <c r="M695" s="13" t="s">
        <v>2231</v>
      </c>
      <c r="N695" s="12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3" t="s">
        <v>2766</v>
      </c>
      <c r="AB695" s="13">
        <v>307.740973</v>
      </c>
      <c r="AC695" s="13" t="s">
        <v>2318</v>
      </c>
      <c r="AD695" s="13" t="s">
        <v>732</v>
      </c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</row>
    <row r="696" spans="1:40" ht="20.100000000000001" customHeight="1">
      <c r="A696" s="11">
        <v>695</v>
      </c>
      <c r="B696" s="12" t="s">
        <v>38</v>
      </c>
      <c r="C696" s="12" t="s">
        <v>38</v>
      </c>
      <c r="D696" s="13" t="s">
        <v>2312</v>
      </c>
      <c r="E696" s="11"/>
      <c r="F696" s="12"/>
      <c r="G696" s="13" t="str">
        <f>"9781573879675"</f>
        <v>9781573879675</v>
      </c>
      <c r="H696" s="13" t="s">
        <v>1804</v>
      </c>
      <c r="I696" s="11" t="s">
        <v>2780</v>
      </c>
      <c r="J696" s="11"/>
      <c r="K696" s="11"/>
      <c r="L696" s="11"/>
      <c r="M696" s="13" t="s">
        <v>2232</v>
      </c>
      <c r="N696" s="12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3" t="s">
        <v>2766</v>
      </c>
      <c r="AB696" s="13" t="s">
        <v>2703</v>
      </c>
      <c r="AC696" s="13" t="s">
        <v>2465</v>
      </c>
      <c r="AD696" s="13" t="s">
        <v>733</v>
      </c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</row>
    <row r="697" spans="1:40" ht="20.100000000000001" customHeight="1">
      <c r="A697" s="11">
        <v>696</v>
      </c>
      <c r="B697" s="12" t="s">
        <v>38</v>
      </c>
      <c r="C697" s="12" t="s">
        <v>38</v>
      </c>
      <c r="D697" s="13" t="s">
        <v>2312</v>
      </c>
      <c r="E697" s="11"/>
      <c r="F697" s="12"/>
      <c r="G697" s="13" t="str">
        <f>"9781421407463"</f>
        <v>9781421407463</v>
      </c>
      <c r="H697" s="13" t="s">
        <v>1805</v>
      </c>
      <c r="I697" s="11" t="s">
        <v>2785</v>
      </c>
      <c r="J697" s="11"/>
      <c r="K697" s="11"/>
      <c r="L697" s="11"/>
      <c r="M697" s="13" t="s">
        <v>2233</v>
      </c>
      <c r="N697" s="12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3" t="s">
        <v>2766</v>
      </c>
      <c r="AB697" s="13" t="s">
        <v>2704</v>
      </c>
      <c r="AC697" s="13" t="s">
        <v>2380</v>
      </c>
      <c r="AD697" s="13" t="s">
        <v>734</v>
      </c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</row>
    <row r="698" spans="1:40" ht="20.100000000000001" customHeight="1">
      <c r="A698" s="11">
        <v>697</v>
      </c>
      <c r="B698" s="12" t="s">
        <v>38</v>
      </c>
      <c r="C698" s="12" t="s">
        <v>38</v>
      </c>
      <c r="D698" s="13" t="s">
        <v>2312</v>
      </c>
      <c r="E698" s="11"/>
      <c r="F698" s="12"/>
      <c r="G698" s="13" t="str">
        <f>"9781421408682"</f>
        <v>9781421408682</v>
      </c>
      <c r="H698" s="13" t="s">
        <v>1806</v>
      </c>
      <c r="I698" s="11" t="s">
        <v>2785</v>
      </c>
      <c r="J698" s="11"/>
      <c r="K698" s="11"/>
      <c r="L698" s="11"/>
      <c r="M698" s="13" t="s">
        <v>2233</v>
      </c>
      <c r="N698" s="12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3" t="s">
        <v>2766</v>
      </c>
      <c r="AB698" s="13">
        <v>599.36</v>
      </c>
      <c r="AC698" s="13" t="s">
        <v>2316</v>
      </c>
      <c r="AD698" s="13" t="s">
        <v>735</v>
      </c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</row>
    <row r="699" spans="1:40" ht="20.100000000000001" customHeight="1">
      <c r="A699" s="11">
        <v>698</v>
      </c>
      <c r="B699" s="12" t="s">
        <v>38</v>
      </c>
      <c r="C699" s="12" t="s">
        <v>38</v>
      </c>
      <c r="D699" s="13" t="s">
        <v>2312</v>
      </c>
      <c r="E699" s="11"/>
      <c r="F699" s="12"/>
      <c r="G699" s="13" t="str">
        <f>"9781421410999"</f>
        <v>9781421410999</v>
      </c>
      <c r="H699" s="13" t="s">
        <v>1807</v>
      </c>
      <c r="I699" s="11" t="s">
        <v>2786</v>
      </c>
      <c r="J699" s="11"/>
      <c r="K699" s="11"/>
      <c r="L699" s="11"/>
      <c r="M699" s="13" t="s">
        <v>2233</v>
      </c>
      <c r="N699" s="12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3" t="s">
        <v>2766</v>
      </c>
      <c r="AB699" s="13">
        <v>510.14</v>
      </c>
      <c r="AC699" s="13" t="s">
        <v>2322</v>
      </c>
      <c r="AD699" s="13" t="s">
        <v>736</v>
      </c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</row>
    <row r="700" spans="1:40" ht="20.100000000000001" customHeight="1">
      <c r="A700" s="11">
        <v>699</v>
      </c>
      <c r="B700" s="12" t="s">
        <v>38</v>
      </c>
      <c r="C700" s="12" t="s">
        <v>38</v>
      </c>
      <c r="D700" s="13" t="s">
        <v>2312</v>
      </c>
      <c r="E700" s="11"/>
      <c r="F700" s="12"/>
      <c r="G700" s="13" t="str">
        <f>"9781421412252"</f>
        <v>9781421412252</v>
      </c>
      <c r="H700" s="13" t="s">
        <v>1808</v>
      </c>
      <c r="I700" s="11" t="s">
        <v>2788</v>
      </c>
      <c r="J700" s="11"/>
      <c r="K700" s="11"/>
      <c r="L700" s="11"/>
      <c r="M700" s="13" t="s">
        <v>2233</v>
      </c>
      <c r="N700" s="12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3" t="s">
        <v>2766</v>
      </c>
      <c r="AB700" s="13" t="s">
        <v>2587</v>
      </c>
      <c r="AC700" s="13" t="s">
        <v>2318</v>
      </c>
      <c r="AD700" s="13" t="s">
        <v>737</v>
      </c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</row>
    <row r="701" spans="1:40" ht="20.100000000000001" customHeight="1">
      <c r="A701" s="11">
        <v>700</v>
      </c>
      <c r="B701" s="12" t="s">
        <v>38</v>
      </c>
      <c r="C701" s="12" t="s">
        <v>38</v>
      </c>
      <c r="D701" s="13" t="s">
        <v>2312</v>
      </c>
      <c r="E701" s="11"/>
      <c r="F701" s="12"/>
      <c r="G701" s="13" t="str">
        <f>"9781421412023"</f>
        <v>9781421412023</v>
      </c>
      <c r="H701" s="13" t="s">
        <v>1809</v>
      </c>
      <c r="I701" s="11" t="s">
        <v>2788</v>
      </c>
      <c r="J701" s="11"/>
      <c r="K701" s="11"/>
      <c r="L701" s="11"/>
      <c r="M701" s="13" t="s">
        <v>2233</v>
      </c>
      <c r="N701" s="12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3" t="s">
        <v>2766</v>
      </c>
      <c r="AB701" s="13"/>
      <c r="AC701" s="13" t="s">
        <v>2316</v>
      </c>
      <c r="AD701" s="13" t="s">
        <v>738</v>
      </c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</row>
    <row r="702" spans="1:40" ht="20.100000000000001" customHeight="1">
      <c r="A702" s="11">
        <v>701</v>
      </c>
      <c r="B702" s="12" t="s">
        <v>38</v>
      </c>
      <c r="C702" s="12" t="s">
        <v>38</v>
      </c>
      <c r="D702" s="13" t="s">
        <v>2312</v>
      </c>
      <c r="E702" s="11"/>
      <c r="F702" s="12"/>
      <c r="G702" s="13" t="str">
        <f>"9781421414430"</f>
        <v>9781421414430</v>
      </c>
      <c r="H702" s="13" t="s">
        <v>1810</v>
      </c>
      <c r="I702" s="11" t="s">
        <v>2788</v>
      </c>
      <c r="J702" s="11"/>
      <c r="K702" s="11"/>
      <c r="L702" s="11"/>
      <c r="M702" s="13" t="s">
        <v>2233</v>
      </c>
      <c r="N702" s="12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3" t="s">
        <v>2766</v>
      </c>
      <c r="AB702" s="13">
        <v>133.59444999999999</v>
      </c>
      <c r="AC702" s="13" t="s">
        <v>2325</v>
      </c>
      <c r="AD702" s="13" t="s">
        <v>739</v>
      </c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</row>
    <row r="703" spans="1:40" ht="20.100000000000001" customHeight="1">
      <c r="A703" s="11">
        <v>702</v>
      </c>
      <c r="B703" s="12" t="s">
        <v>38</v>
      </c>
      <c r="C703" s="12" t="s">
        <v>38</v>
      </c>
      <c r="D703" s="13" t="s">
        <v>2312</v>
      </c>
      <c r="E703" s="11"/>
      <c r="F703" s="12"/>
      <c r="G703" s="13" t="str">
        <f>"9780761499008"</f>
        <v>9780761499008</v>
      </c>
      <c r="H703" s="13" t="s">
        <v>1811</v>
      </c>
      <c r="I703" s="11" t="s">
        <v>2779</v>
      </c>
      <c r="J703" s="11"/>
      <c r="K703" s="11"/>
      <c r="L703" s="11"/>
      <c r="M703" s="13" t="s">
        <v>2234</v>
      </c>
      <c r="N703" s="12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3" t="s">
        <v>2766</v>
      </c>
      <c r="AB703" s="13" t="s">
        <v>2705</v>
      </c>
      <c r="AC703" s="13" t="s">
        <v>2466</v>
      </c>
      <c r="AD703" s="13" t="s">
        <v>740</v>
      </c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</row>
    <row r="704" spans="1:40" ht="20.100000000000001" customHeight="1">
      <c r="A704" s="11">
        <v>703</v>
      </c>
      <c r="B704" s="12" t="s">
        <v>38</v>
      </c>
      <c r="C704" s="12" t="s">
        <v>38</v>
      </c>
      <c r="D704" s="13" t="s">
        <v>2312</v>
      </c>
      <c r="E704" s="11"/>
      <c r="F704" s="12"/>
      <c r="G704" s="13" t="str">
        <f>"9780761499190"</f>
        <v>9780761499190</v>
      </c>
      <c r="H704" s="13" t="s">
        <v>1812</v>
      </c>
      <c r="I704" s="11" t="s">
        <v>2779</v>
      </c>
      <c r="J704" s="11"/>
      <c r="K704" s="11"/>
      <c r="L704" s="11"/>
      <c r="M704" s="13" t="s">
        <v>2234</v>
      </c>
      <c r="N704" s="12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3" t="s">
        <v>2766</v>
      </c>
      <c r="AB704" s="13" t="s">
        <v>2706</v>
      </c>
      <c r="AC704" s="13" t="s">
        <v>2313</v>
      </c>
      <c r="AD704" s="13" t="s">
        <v>741</v>
      </c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</row>
    <row r="705" spans="1:40" ht="20.100000000000001" customHeight="1">
      <c r="A705" s="11">
        <v>704</v>
      </c>
      <c r="B705" s="12" t="s">
        <v>38</v>
      </c>
      <c r="C705" s="12" t="s">
        <v>38</v>
      </c>
      <c r="D705" s="13" t="s">
        <v>2312</v>
      </c>
      <c r="E705" s="11"/>
      <c r="F705" s="12"/>
      <c r="G705" s="13" t="str">
        <f>"9780761499220"</f>
        <v>9780761499220</v>
      </c>
      <c r="H705" s="13" t="s">
        <v>1813</v>
      </c>
      <c r="I705" s="11" t="s">
        <v>2783</v>
      </c>
      <c r="J705" s="11"/>
      <c r="K705" s="11"/>
      <c r="L705" s="11"/>
      <c r="M705" s="13" t="s">
        <v>2234</v>
      </c>
      <c r="N705" s="12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3" t="s">
        <v>2766</v>
      </c>
      <c r="AB705" s="13">
        <v>610.29999999999995</v>
      </c>
      <c r="AC705" s="13" t="s">
        <v>2328</v>
      </c>
      <c r="AD705" s="13" t="s">
        <v>742</v>
      </c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</row>
    <row r="706" spans="1:40" ht="20.100000000000001" customHeight="1">
      <c r="A706" s="11">
        <v>705</v>
      </c>
      <c r="B706" s="12" t="s">
        <v>38</v>
      </c>
      <c r="C706" s="12" t="s">
        <v>38</v>
      </c>
      <c r="D706" s="13" t="s">
        <v>2312</v>
      </c>
      <c r="E706" s="11"/>
      <c r="F706" s="12"/>
      <c r="G706" s="13" t="str">
        <f>"9780761499480"</f>
        <v>9780761499480</v>
      </c>
      <c r="H706" s="13" t="s">
        <v>1814</v>
      </c>
      <c r="I706" s="11" t="s">
        <v>2771</v>
      </c>
      <c r="J706" s="11"/>
      <c r="K706" s="11"/>
      <c r="L706" s="11"/>
      <c r="M706" s="13" t="s">
        <v>2234</v>
      </c>
      <c r="N706" s="12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3" t="s">
        <v>2766</v>
      </c>
      <c r="AB706" s="13" t="s">
        <v>2707</v>
      </c>
      <c r="AC706" s="13" t="s">
        <v>2378</v>
      </c>
      <c r="AD706" s="13" t="s">
        <v>743</v>
      </c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</row>
    <row r="707" spans="1:40" ht="20.100000000000001" customHeight="1">
      <c r="A707" s="11">
        <v>706</v>
      </c>
      <c r="B707" s="12" t="s">
        <v>38</v>
      </c>
      <c r="C707" s="12" t="s">
        <v>38</v>
      </c>
      <c r="D707" s="13" t="s">
        <v>2312</v>
      </c>
      <c r="E707" s="11"/>
      <c r="F707" s="12"/>
      <c r="G707" s="13" t="str">
        <f>"9780761499022"</f>
        <v>9780761499022</v>
      </c>
      <c r="H707" s="13" t="s">
        <v>1815</v>
      </c>
      <c r="I707" s="11" t="s">
        <v>2776</v>
      </c>
      <c r="J707" s="11"/>
      <c r="K707" s="11"/>
      <c r="L707" s="11"/>
      <c r="M707" s="13" t="s">
        <v>2234</v>
      </c>
      <c r="N707" s="12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3" t="s">
        <v>2766</v>
      </c>
      <c r="AB707" s="13" t="s">
        <v>2708</v>
      </c>
      <c r="AC707" s="13" t="s">
        <v>2378</v>
      </c>
      <c r="AD707" s="13" t="s">
        <v>744</v>
      </c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</row>
    <row r="708" spans="1:40" ht="20.100000000000001" customHeight="1">
      <c r="A708" s="11">
        <v>707</v>
      </c>
      <c r="B708" s="12" t="s">
        <v>38</v>
      </c>
      <c r="C708" s="12" t="s">
        <v>38</v>
      </c>
      <c r="D708" s="13" t="s">
        <v>2312</v>
      </c>
      <c r="E708" s="11"/>
      <c r="F708" s="12"/>
      <c r="G708" s="13" t="str">
        <f>"9780262301190"</f>
        <v>9780262301190</v>
      </c>
      <c r="H708" s="13" t="s">
        <v>1816</v>
      </c>
      <c r="I708" s="11" t="s">
        <v>2785</v>
      </c>
      <c r="J708" s="11"/>
      <c r="K708" s="11"/>
      <c r="L708" s="11"/>
      <c r="M708" s="13" t="s">
        <v>2235</v>
      </c>
      <c r="N708" s="12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3" t="s">
        <v>2766</v>
      </c>
      <c r="AB708" s="13" t="s">
        <v>2709</v>
      </c>
      <c r="AC708" s="13" t="s">
        <v>2467</v>
      </c>
      <c r="AD708" s="13" t="s">
        <v>745</v>
      </c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</row>
    <row r="709" spans="1:40" ht="20.100000000000001" customHeight="1">
      <c r="A709" s="11">
        <v>708</v>
      </c>
      <c r="B709" s="12" t="s">
        <v>38</v>
      </c>
      <c r="C709" s="12" t="s">
        <v>38</v>
      </c>
      <c r="D709" s="13" t="s">
        <v>2312</v>
      </c>
      <c r="E709" s="11"/>
      <c r="F709" s="12"/>
      <c r="G709" s="13" t="str">
        <f>"9780262310383"</f>
        <v>9780262310383</v>
      </c>
      <c r="H709" s="13" t="s">
        <v>1817</v>
      </c>
      <c r="I709" s="11" t="s">
        <v>2785</v>
      </c>
      <c r="J709" s="11"/>
      <c r="K709" s="11"/>
      <c r="L709" s="11"/>
      <c r="M709" s="13" t="s">
        <v>2235</v>
      </c>
      <c r="N709" s="12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3" t="s">
        <v>2766</v>
      </c>
      <c r="AB709" s="13">
        <v>4</v>
      </c>
      <c r="AC709" s="13" t="s">
        <v>2369</v>
      </c>
      <c r="AD709" s="13" t="s">
        <v>746</v>
      </c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</row>
    <row r="710" spans="1:40" ht="20.100000000000001" customHeight="1">
      <c r="A710" s="11">
        <v>709</v>
      </c>
      <c r="B710" s="12" t="s">
        <v>38</v>
      </c>
      <c r="C710" s="12" t="s">
        <v>38</v>
      </c>
      <c r="D710" s="13" t="s">
        <v>2312</v>
      </c>
      <c r="E710" s="11"/>
      <c r="F710" s="12"/>
      <c r="G710" s="13" t="str">
        <f>"9780262313223"</f>
        <v>9780262313223</v>
      </c>
      <c r="H710" s="13" t="s">
        <v>1818</v>
      </c>
      <c r="I710" s="11" t="s">
        <v>2786</v>
      </c>
      <c r="J710" s="11"/>
      <c r="K710" s="11"/>
      <c r="L710" s="11"/>
      <c r="M710" s="13" t="s">
        <v>2235</v>
      </c>
      <c r="N710" s="12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3" t="s">
        <v>2766</v>
      </c>
      <c r="AB710" s="13">
        <v>5.0999999999999996</v>
      </c>
      <c r="AC710" s="13" t="s">
        <v>2369</v>
      </c>
      <c r="AD710" s="13" t="s">
        <v>747</v>
      </c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</row>
    <row r="711" spans="1:40" ht="20.100000000000001" customHeight="1">
      <c r="A711" s="11">
        <v>710</v>
      </c>
      <c r="B711" s="12" t="s">
        <v>38</v>
      </c>
      <c r="C711" s="12" t="s">
        <v>38</v>
      </c>
      <c r="D711" s="13" t="s">
        <v>2312</v>
      </c>
      <c r="E711" s="11"/>
      <c r="F711" s="12"/>
      <c r="G711" s="13" t="str">
        <f>"9780262314305"</f>
        <v>9780262314305</v>
      </c>
      <c r="H711" s="13" t="s">
        <v>1819</v>
      </c>
      <c r="I711" s="11" t="s">
        <v>2786</v>
      </c>
      <c r="J711" s="11"/>
      <c r="K711" s="11"/>
      <c r="L711" s="11"/>
      <c r="M711" s="13" t="s">
        <v>2235</v>
      </c>
      <c r="N711" s="12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3" t="s">
        <v>2766</v>
      </c>
      <c r="AB711" s="13">
        <v>777.70899999999995</v>
      </c>
      <c r="AC711" s="13" t="s">
        <v>2315</v>
      </c>
      <c r="AD711" s="13" t="s">
        <v>748</v>
      </c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</row>
    <row r="712" spans="1:40" ht="20.100000000000001" customHeight="1">
      <c r="A712" s="11">
        <v>711</v>
      </c>
      <c r="B712" s="12" t="s">
        <v>38</v>
      </c>
      <c r="C712" s="12" t="s">
        <v>38</v>
      </c>
      <c r="D712" s="13" t="s">
        <v>2312</v>
      </c>
      <c r="E712" s="11"/>
      <c r="F712" s="12"/>
      <c r="G712" s="13" t="str">
        <f>"9780262314244"</f>
        <v>9780262314244</v>
      </c>
      <c r="H712" s="13" t="s">
        <v>1820</v>
      </c>
      <c r="I712" s="11" t="s">
        <v>2786</v>
      </c>
      <c r="J712" s="11"/>
      <c r="K712" s="11"/>
      <c r="L712" s="11"/>
      <c r="M712" s="13" t="s">
        <v>2235</v>
      </c>
      <c r="N712" s="12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3" t="s">
        <v>2766</v>
      </c>
      <c r="AB712" s="13">
        <v>4.0190000000000001</v>
      </c>
      <c r="AC712" s="13" t="s">
        <v>2369</v>
      </c>
      <c r="AD712" s="13" t="s">
        <v>749</v>
      </c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</row>
    <row r="713" spans="1:40" ht="20.100000000000001" customHeight="1">
      <c r="A713" s="11">
        <v>712</v>
      </c>
      <c r="B713" s="12" t="s">
        <v>38</v>
      </c>
      <c r="C713" s="12" t="s">
        <v>38</v>
      </c>
      <c r="D713" s="13" t="s">
        <v>2312</v>
      </c>
      <c r="E713" s="11"/>
      <c r="F713" s="12"/>
      <c r="G713" s="13" t="str">
        <f>"9780262317696"</f>
        <v>9780262317696</v>
      </c>
      <c r="H713" s="13" t="s">
        <v>1821</v>
      </c>
      <c r="I713" s="11" t="s">
        <v>2786</v>
      </c>
      <c r="J713" s="11"/>
      <c r="K713" s="11"/>
      <c r="L713" s="11"/>
      <c r="M713" s="13" t="s">
        <v>2235</v>
      </c>
      <c r="N713" s="12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3" t="s">
        <v>2766</v>
      </c>
      <c r="AB713" s="13">
        <v>302.23099999999999</v>
      </c>
      <c r="AC713" s="13" t="s">
        <v>2318</v>
      </c>
      <c r="AD713" s="13" t="s">
        <v>750</v>
      </c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</row>
    <row r="714" spans="1:40" ht="20.100000000000001" customHeight="1">
      <c r="A714" s="11">
        <v>713</v>
      </c>
      <c r="B714" s="12" t="s">
        <v>38</v>
      </c>
      <c r="C714" s="12" t="s">
        <v>38</v>
      </c>
      <c r="D714" s="13" t="s">
        <v>2312</v>
      </c>
      <c r="E714" s="11"/>
      <c r="F714" s="12"/>
      <c r="G714" s="13" t="str">
        <f>"9780262317900"</f>
        <v>9780262317900</v>
      </c>
      <c r="H714" s="13" t="s">
        <v>1822</v>
      </c>
      <c r="I714" s="11" t="s">
        <v>2786</v>
      </c>
      <c r="J714" s="11"/>
      <c r="K714" s="11"/>
      <c r="L714" s="11"/>
      <c r="M714" s="13" t="s">
        <v>2235</v>
      </c>
      <c r="N714" s="12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3" t="s">
        <v>2766</v>
      </c>
      <c r="AB714" s="13">
        <v>612.84</v>
      </c>
      <c r="AC714" s="13" t="s">
        <v>2468</v>
      </c>
      <c r="AD714" s="13" t="s">
        <v>751</v>
      </c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</row>
    <row r="715" spans="1:40" ht="20.100000000000001" customHeight="1">
      <c r="A715" s="11">
        <v>714</v>
      </c>
      <c r="B715" s="12" t="s">
        <v>38</v>
      </c>
      <c r="C715" s="12" t="s">
        <v>38</v>
      </c>
      <c r="D715" s="13" t="s">
        <v>2312</v>
      </c>
      <c r="E715" s="11"/>
      <c r="F715" s="12"/>
      <c r="G715" s="13" t="str">
        <f>"9780262314404"</f>
        <v>9780262314404</v>
      </c>
      <c r="H715" s="13" t="s">
        <v>1823</v>
      </c>
      <c r="I715" s="11" t="s">
        <v>2786</v>
      </c>
      <c r="J715" s="11"/>
      <c r="K715" s="11"/>
      <c r="L715" s="11"/>
      <c r="M715" s="13" t="s">
        <v>2235</v>
      </c>
      <c r="N715" s="12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3" t="s">
        <v>2766</v>
      </c>
      <c r="AB715" s="13">
        <v>339</v>
      </c>
      <c r="AC715" s="13" t="s">
        <v>2359</v>
      </c>
      <c r="AD715" s="13" t="s">
        <v>752</v>
      </c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</row>
    <row r="716" spans="1:40" ht="20.100000000000001" customHeight="1">
      <c r="A716" s="11">
        <v>715</v>
      </c>
      <c r="B716" s="12" t="s">
        <v>38</v>
      </c>
      <c r="C716" s="12" t="s">
        <v>38</v>
      </c>
      <c r="D716" s="13" t="s">
        <v>2312</v>
      </c>
      <c r="E716" s="11"/>
      <c r="F716" s="12"/>
      <c r="G716" s="13" t="str">
        <f>"9780262320238"</f>
        <v>9780262320238</v>
      </c>
      <c r="H716" s="13" t="s">
        <v>1824</v>
      </c>
      <c r="I716" s="11" t="s">
        <v>2788</v>
      </c>
      <c r="J716" s="11"/>
      <c r="K716" s="11"/>
      <c r="L716" s="11"/>
      <c r="M716" s="13" t="s">
        <v>2235</v>
      </c>
      <c r="N716" s="12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3" t="s">
        <v>2766</v>
      </c>
      <c r="AB716" s="13" t="s">
        <v>2710</v>
      </c>
      <c r="AC716" s="13" t="s">
        <v>2469</v>
      </c>
      <c r="AD716" s="13" t="s">
        <v>753</v>
      </c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</row>
    <row r="717" spans="1:40" ht="20.100000000000001" customHeight="1">
      <c r="A717" s="11">
        <v>716</v>
      </c>
      <c r="B717" s="12" t="s">
        <v>38</v>
      </c>
      <c r="C717" s="12" t="s">
        <v>38</v>
      </c>
      <c r="D717" s="13" t="s">
        <v>2312</v>
      </c>
      <c r="E717" s="11"/>
      <c r="F717" s="12"/>
      <c r="G717" s="13" t="str">
        <f>"9780262323505"</f>
        <v>9780262323505</v>
      </c>
      <c r="H717" s="13" t="s">
        <v>1825</v>
      </c>
      <c r="I717" s="11" t="s">
        <v>2788</v>
      </c>
      <c r="J717" s="11"/>
      <c r="K717" s="11"/>
      <c r="L717" s="11"/>
      <c r="M717" s="13" t="s">
        <v>2235</v>
      </c>
      <c r="N717" s="12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3" t="s">
        <v>2766</v>
      </c>
      <c r="AB717" s="13" t="s">
        <v>2711</v>
      </c>
      <c r="AC717" s="13" t="s">
        <v>2334</v>
      </c>
      <c r="AD717" s="13" t="s">
        <v>754</v>
      </c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</row>
    <row r="718" spans="1:40" ht="20.100000000000001" customHeight="1">
      <c r="A718" s="11">
        <v>717</v>
      </c>
      <c r="B718" s="12" t="s">
        <v>38</v>
      </c>
      <c r="C718" s="12" t="s">
        <v>38</v>
      </c>
      <c r="D718" s="13" t="s">
        <v>2312</v>
      </c>
      <c r="E718" s="11"/>
      <c r="F718" s="12"/>
      <c r="G718" s="13" t="str">
        <f>"9780262319300"</f>
        <v>9780262319300</v>
      </c>
      <c r="H718" s="13" t="s">
        <v>1826</v>
      </c>
      <c r="I718" s="11" t="s">
        <v>2788</v>
      </c>
      <c r="J718" s="11"/>
      <c r="K718" s="11"/>
      <c r="L718" s="11"/>
      <c r="M718" s="13" t="s">
        <v>2235</v>
      </c>
      <c r="N718" s="12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3" t="s">
        <v>2766</v>
      </c>
      <c r="AB718" s="13">
        <v>153</v>
      </c>
      <c r="AC718" s="13" t="s">
        <v>2346</v>
      </c>
      <c r="AD718" s="13" t="s">
        <v>755</v>
      </c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</row>
    <row r="719" spans="1:40" ht="20.100000000000001" customHeight="1">
      <c r="A719" s="11">
        <v>718</v>
      </c>
      <c r="B719" s="12" t="s">
        <v>38</v>
      </c>
      <c r="C719" s="12" t="s">
        <v>38</v>
      </c>
      <c r="D719" s="13" t="s">
        <v>2312</v>
      </c>
      <c r="E719" s="11"/>
      <c r="F719" s="12"/>
      <c r="G719" s="13" t="str">
        <f>"9780262321129"</f>
        <v>9780262321129</v>
      </c>
      <c r="H719" s="13" t="s">
        <v>1827</v>
      </c>
      <c r="I719" s="11" t="s">
        <v>2788</v>
      </c>
      <c r="J719" s="11"/>
      <c r="K719" s="11"/>
      <c r="L719" s="11"/>
      <c r="M719" s="13" t="s">
        <v>2235</v>
      </c>
      <c r="N719" s="12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3" t="s">
        <v>2766</v>
      </c>
      <c r="AB719" s="13" t="s">
        <v>2712</v>
      </c>
      <c r="AC719" s="13" t="s">
        <v>2325</v>
      </c>
      <c r="AD719" s="13" t="s">
        <v>756</v>
      </c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</row>
    <row r="720" spans="1:40" ht="20.100000000000001" customHeight="1">
      <c r="A720" s="11">
        <v>719</v>
      </c>
      <c r="B720" s="12" t="s">
        <v>38</v>
      </c>
      <c r="C720" s="12" t="s">
        <v>38</v>
      </c>
      <c r="D720" s="13" t="s">
        <v>2312</v>
      </c>
      <c r="E720" s="11"/>
      <c r="F720" s="12"/>
      <c r="G720" s="13" t="str">
        <f>"9780262322980"</f>
        <v>9780262322980</v>
      </c>
      <c r="H720" s="13" t="s">
        <v>1828</v>
      </c>
      <c r="I720" s="11" t="s">
        <v>2788</v>
      </c>
      <c r="J720" s="11"/>
      <c r="K720" s="11"/>
      <c r="L720" s="11"/>
      <c r="M720" s="13" t="s">
        <v>2235</v>
      </c>
      <c r="N720" s="12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3" t="s">
        <v>2766</v>
      </c>
      <c r="AB720" s="13">
        <v>371.33446780000003</v>
      </c>
      <c r="AC720" s="13" t="s">
        <v>2349</v>
      </c>
      <c r="AD720" s="13" t="s">
        <v>757</v>
      </c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</row>
    <row r="721" spans="1:40" ht="20.100000000000001" customHeight="1">
      <c r="A721" s="11">
        <v>720</v>
      </c>
      <c r="B721" s="12" t="s">
        <v>38</v>
      </c>
      <c r="C721" s="12" t="s">
        <v>38</v>
      </c>
      <c r="D721" s="13" t="s">
        <v>2312</v>
      </c>
      <c r="E721" s="11"/>
      <c r="F721" s="12"/>
      <c r="G721" s="13" t="str">
        <f>"9780262327701"</f>
        <v>9780262327701</v>
      </c>
      <c r="H721" s="13" t="s">
        <v>1829</v>
      </c>
      <c r="I721" s="11" t="s">
        <v>2788</v>
      </c>
      <c r="J721" s="11"/>
      <c r="K721" s="11"/>
      <c r="L721" s="11"/>
      <c r="M721" s="13" t="s">
        <v>2235</v>
      </c>
      <c r="N721" s="12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3" t="s">
        <v>2766</v>
      </c>
      <c r="AB721" s="13" t="s">
        <v>2713</v>
      </c>
      <c r="AC721" s="13" t="s">
        <v>2359</v>
      </c>
      <c r="AD721" s="13" t="s">
        <v>758</v>
      </c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</row>
    <row r="722" spans="1:40" ht="20.100000000000001" customHeight="1">
      <c r="A722" s="11">
        <v>721</v>
      </c>
      <c r="B722" s="12" t="s">
        <v>38</v>
      </c>
      <c r="C722" s="12" t="s">
        <v>38</v>
      </c>
      <c r="D722" s="13" t="s">
        <v>2312</v>
      </c>
      <c r="E722" s="11"/>
      <c r="F722" s="12"/>
      <c r="G722" s="13" t="str">
        <f>"9780262321853"</f>
        <v>9780262321853</v>
      </c>
      <c r="H722" s="13" t="s">
        <v>1830</v>
      </c>
      <c r="I722" s="11" t="s">
        <v>2788</v>
      </c>
      <c r="J722" s="11"/>
      <c r="K722" s="11"/>
      <c r="L722" s="11"/>
      <c r="M722" s="13" t="s">
        <v>2235</v>
      </c>
      <c r="N722" s="12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3" t="s">
        <v>2766</v>
      </c>
      <c r="AB722" s="13">
        <v>6.6028500000000001</v>
      </c>
      <c r="AC722" s="13" t="s">
        <v>2369</v>
      </c>
      <c r="AD722" s="13" t="s">
        <v>759</v>
      </c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</row>
    <row r="723" spans="1:40" ht="20.100000000000001" customHeight="1">
      <c r="A723" s="11">
        <v>722</v>
      </c>
      <c r="B723" s="12" t="s">
        <v>38</v>
      </c>
      <c r="C723" s="12" t="s">
        <v>38</v>
      </c>
      <c r="D723" s="13" t="s">
        <v>2312</v>
      </c>
      <c r="E723" s="11"/>
      <c r="F723" s="12"/>
      <c r="G723" s="13" t="str">
        <f>"9780262328487"</f>
        <v>9780262328487</v>
      </c>
      <c r="H723" s="13" t="s">
        <v>1831</v>
      </c>
      <c r="I723" s="11" t="s">
        <v>2789</v>
      </c>
      <c r="J723" s="11"/>
      <c r="K723" s="11"/>
      <c r="L723" s="11"/>
      <c r="M723" s="13" t="s">
        <v>2235</v>
      </c>
      <c r="N723" s="12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3" t="s">
        <v>2766</v>
      </c>
      <c r="AB723" s="13">
        <v>794.8</v>
      </c>
      <c r="AC723" s="13" t="s">
        <v>2338</v>
      </c>
      <c r="AD723" s="13" t="s">
        <v>760</v>
      </c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</row>
    <row r="724" spans="1:40" ht="20.100000000000001" customHeight="1">
      <c r="A724" s="11">
        <v>723</v>
      </c>
      <c r="B724" s="12" t="s">
        <v>38</v>
      </c>
      <c r="C724" s="12" t="s">
        <v>38</v>
      </c>
      <c r="D724" s="13" t="s">
        <v>2312</v>
      </c>
      <c r="E724" s="11"/>
      <c r="F724" s="12"/>
      <c r="G724" s="13" t="str">
        <f>"9780615846064"</f>
        <v>9780615846064</v>
      </c>
      <c r="H724" s="13" t="s">
        <v>1832</v>
      </c>
      <c r="I724" s="11" t="s">
        <v>2789</v>
      </c>
      <c r="J724" s="11"/>
      <c r="K724" s="11"/>
      <c r="L724" s="11"/>
      <c r="M724" s="13" t="s">
        <v>2236</v>
      </c>
      <c r="N724" s="12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3" t="s">
        <v>2766</v>
      </c>
      <c r="AB724" s="13"/>
      <c r="AC724" s="13" t="s">
        <v>2314</v>
      </c>
      <c r="AD724" s="13" t="s">
        <v>761</v>
      </c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</row>
    <row r="725" spans="1:40" ht="20.100000000000001" customHeight="1">
      <c r="A725" s="11">
        <v>724</v>
      </c>
      <c r="B725" s="12" t="s">
        <v>38</v>
      </c>
      <c r="C725" s="12" t="s">
        <v>38</v>
      </c>
      <c r="D725" s="13" t="s">
        <v>2312</v>
      </c>
      <c r="E725" s="11"/>
      <c r="F725" s="12"/>
      <c r="G725" s="13" t="str">
        <f>"9780615630687"</f>
        <v>9780615630687</v>
      </c>
      <c r="H725" s="13" t="s">
        <v>1833</v>
      </c>
      <c r="I725" s="11" t="s">
        <v>2785</v>
      </c>
      <c r="J725" s="11"/>
      <c r="K725" s="11"/>
      <c r="L725" s="11"/>
      <c r="M725" s="13" t="s">
        <v>2236</v>
      </c>
      <c r="N725" s="12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3" t="s">
        <v>2766</v>
      </c>
      <c r="AB725" s="13"/>
      <c r="AC725" s="13" t="s">
        <v>2314</v>
      </c>
      <c r="AD725" s="13" t="s">
        <v>762</v>
      </c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</row>
    <row r="726" spans="1:40" ht="20.100000000000001" customHeight="1">
      <c r="A726" s="11">
        <v>725</v>
      </c>
      <c r="B726" s="12" t="s">
        <v>38</v>
      </c>
      <c r="C726" s="12" t="s">
        <v>38</v>
      </c>
      <c r="D726" s="13" t="s">
        <v>2312</v>
      </c>
      <c r="E726" s="11"/>
      <c r="F726" s="12"/>
      <c r="G726" s="13" t="str">
        <f>"9781906523718"</f>
        <v>9781906523718</v>
      </c>
      <c r="H726" s="13" t="s">
        <v>1834</v>
      </c>
      <c r="I726" s="11" t="s">
        <v>2777</v>
      </c>
      <c r="J726" s="11"/>
      <c r="K726" s="11"/>
      <c r="L726" s="11"/>
      <c r="M726" s="13" t="s">
        <v>2237</v>
      </c>
      <c r="N726" s="12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3" t="s">
        <v>2766</v>
      </c>
      <c r="AB726" s="13" t="s">
        <v>2714</v>
      </c>
      <c r="AC726" s="13" t="s">
        <v>2419</v>
      </c>
      <c r="AD726" s="13" t="s">
        <v>763</v>
      </c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</row>
    <row r="727" spans="1:40" ht="20.100000000000001" customHeight="1">
      <c r="A727" s="11">
        <v>726</v>
      </c>
      <c r="B727" s="12" t="s">
        <v>38</v>
      </c>
      <c r="C727" s="12" t="s">
        <v>38</v>
      </c>
      <c r="D727" s="13" t="s">
        <v>2312</v>
      </c>
      <c r="E727" s="11"/>
      <c r="F727" s="12"/>
      <c r="G727" s="13" t="str">
        <f>"9781906523749"</f>
        <v>9781906523749</v>
      </c>
      <c r="H727" s="13" t="s">
        <v>1835</v>
      </c>
      <c r="I727" s="11" t="s">
        <v>2774</v>
      </c>
      <c r="J727" s="11"/>
      <c r="K727" s="11"/>
      <c r="L727" s="11"/>
      <c r="M727" s="13" t="s">
        <v>2237</v>
      </c>
      <c r="N727" s="12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3" t="s">
        <v>2766</v>
      </c>
      <c r="AB727" s="13">
        <v>500</v>
      </c>
      <c r="AC727" s="13" t="s">
        <v>2377</v>
      </c>
      <c r="AD727" s="13" t="s">
        <v>764</v>
      </c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</row>
    <row r="728" spans="1:40" ht="20.100000000000001" customHeight="1">
      <c r="A728" s="11">
        <v>727</v>
      </c>
      <c r="B728" s="12" t="s">
        <v>38</v>
      </c>
      <c r="C728" s="12" t="s">
        <v>38</v>
      </c>
      <c r="D728" s="13" t="s">
        <v>2312</v>
      </c>
      <c r="E728" s="11"/>
      <c r="F728" s="12"/>
      <c r="G728" s="13" t="str">
        <f>"9781906523626"</f>
        <v>9781906523626</v>
      </c>
      <c r="H728" s="13" t="s">
        <v>1836</v>
      </c>
      <c r="I728" s="11" t="s">
        <v>2777</v>
      </c>
      <c r="J728" s="11"/>
      <c r="K728" s="11"/>
      <c r="L728" s="11"/>
      <c r="M728" s="13" t="s">
        <v>2237</v>
      </c>
      <c r="N728" s="12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3" t="s">
        <v>2766</v>
      </c>
      <c r="AB728" s="13">
        <v>297</v>
      </c>
      <c r="AC728" s="13" t="s">
        <v>2323</v>
      </c>
      <c r="AD728" s="13" t="s">
        <v>765</v>
      </c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</row>
    <row r="729" spans="1:40" ht="20.100000000000001" customHeight="1">
      <c r="A729" s="11">
        <v>728</v>
      </c>
      <c r="B729" s="12" t="s">
        <v>38</v>
      </c>
      <c r="C729" s="12" t="s">
        <v>38</v>
      </c>
      <c r="D729" s="13" t="s">
        <v>2312</v>
      </c>
      <c r="E729" s="11"/>
      <c r="F729" s="12"/>
      <c r="G729" s="13" t="str">
        <f>"9781906523596"</f>
        <v>9781906523596</v>
      </c>
      <c r="H729" s="13" t="s">
        <v>1837</v>
      </c>
      <c r="I729" s="11" t="s">
        <v>2774</v>
      </c>
      <c r="J729" s="11"/>
      <c r="K729" s="11"/>
      <c r="L729" s="11"/>
      <c r="M729" s="13" t="s">
        <v>2237</v>
      </c>
      <c r="N729" s="12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3" t="s">
        <v>2766</v>
      </c>
      <c r="AB729" s="13">
        <v>323</v>
      </c>
      <c r="AC729" s="13" t="s">
        <v>2329</v>
      </c>
      <c r="AD729" s="13" t="s">
        <v>766</v>
      </c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</row>
    <row r="730" spans="1:40" ht="20.100000000000001" customHeight="1">
      <c r="A730" s="11">
        <v>729</v>
      </c>
      <c r="B730" s="12" t="s">
        <v>38</v>
      </c>
      <c r="C730" s="12" t="s">
        <v>38</v>
      </c>
      <c r="D730" s="13" t="s">
        <v>2312</v>
      </c>
      <c r="E730" s="11"/>
      <c r="F730" s="12"/>
      <c r="G730" s="13" t="str">
        <f>"9781906523688"</f>
        <v>9781906523688</v>
      </c>
      <c r="H730" s="13" t="s">
        <v>1838</v>
      </c>
      <c r="I730" s="11" t="s">
        <v>2777</v>
      </c>
      <c r="J730" s="11"/>
      <c r="K730" s="11"/>
      <c r="L730" s="11"/>
      <c r="M730" s="13" t="s">
        <v>2237</v>
      </c>
      <c r="N730" s="12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3" t="s">
        <v>2766</v>
      </c>
      <c r="AB730" s="13">
        <v>362.1</v>
      </c>
      <c r="AC730" s="13" t="s">
        <v>2408</v>
      </c>
      <c r="AD730" s="13" t="s">
        <v>767</v>
      </c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</row>
    <row r="731" spans="1:40" ht="20.100000000000001" customHeight="1">
      <c r="A731" s="11">
        <v>730</v>
      </c>
      <c r="B731" s="12" t="s">
        <v>38</v>
      </c>
      <c r="C731" s="12" t="s">
        <v>38</v>
      </c>
      <c r="D731" s="13" t="s">
        <v>2312</v>
      </c>
      <c r="E731" s="11"/>
      <c r="F731" s="12"/>
      <c r="G731" s="13" t="str">
        <f>"9781906523756"</f>
        <v>9781906523756</v>
      </c>
      <c r="H731" s="13" t="s">
        <v>1839</v>
      </c>
      <c r="I731" s="11" t="s">
        <v>2777</v>
      </c>
      <c r="J731" s="11"/>
      <c r="K731" s="11"/>
      <c r="L731" s="11"/>
      <c r="M731" s="13" t="s">
        <v>2237</v>
      </c>
      <c r="N731" s="12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3" t="s">
        <v>2766</v>
      </c>
      <c r="AB731" s="13" t="s">
        <v>2715</v>
      </c>
      <c r="AC731" s="13" t="s">
        <v>2470</v>
      </c>
      <c r="AD731" s="13" t="s">
        <v>768</v>
      </c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</row>
    <row r="732" spans="1:40" ht="20.100000000000001" customHeight="1">
      <c r="A732" s="11">
        <v>731</v>
      </c>
      <c r="B732" s="12" t="s">
        <v>38</v>
      </c>
      <c r="C732" s="12" t="s">
        <v>38</v>
      </c>
      <c r="D732" s="13" t="s">
        <v>2312</v>
      </c>
      <c r="E732" s="11"/>
      <c r="F732" s="12"/>
      <c r="G732" s="13" t="str">
        <f>"9781906523640"</f>
        <v>9781906523640</v>
      </c>
      <c r="H732" s="13" t="s">
        <v>1840</v>
      </c>
      <c r="I732" s="11" t="s">
        <v>2777</v>
      </c>
      <c r="J732" s="11"/>
      <c r="K732" s="11"/>
      <c r="L732" s="11"/>
      <c r="M732" s="13" t="s">
        <v>2237</v>
      </c>
      <c r="N732" s="12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3" t="s">
        <v>2766</v>
      </c>
      <c r="AB732" s="13">
        <v>306.76</v>
      </c>
      <c r="AC732" s="13" t="s">
        <v>2318</v>
      </c>
      <c r="AD732" s="13" t="s">
        <v>769</v>
      </c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</row>
    <row r="733" spans="1:40" ht="20.100000000000001" customHeight="1">
      <c r="A733" s="11">
        <v>732</v>
      </c>
      <c r="B733" s="12" t="s">
        <v>38</v>
      </c>
      <c r="C733" s="12" t="s">
        <v>38</v>
      </c>
      <c r="D733" s="13" t="s">
        <v>2312</v>
      </c>
      <c r="E733" s="11"/>
      <c r="F733" s="12"/>
      <c r="G733" s="13" t="str">
        <f>"9781906523602"</f>
        <v>9781906523602</v>
      </c>
      <c r="H733" s="13" t="s">
        <v>1841</v>
      </c>
      <c r="I733" s="11" t="s">
        <v>2777</v>
      </c>
      <c r="J733" s="11"/>
      <c r="K733" s="11"/>
      <c r="L733" s="11"/>
      <c r="M733" s="13" t="s">
        <v>2237</v>
      </c>
      <c r="N733" s="12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3" t="s">
        <v>2766</v>
      </c>
      <c r="AB733" s="13">
        <v>338.91091724</v>
      </c>
      <c r="AC733" s="13" t="s">
        <v>2359</v>
      </c>
      <c r="AD733" s="13" t="s">
        <v>770</v>
      </c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</row>
    <row r="734" spans="1:40" ht="20.100000000000001" customHeight="1">
      <c r="A734" s="11">
        <v>733</v>
      </c>
      <c r="B734" s="12" t="s">
        <v>38</v>
      </c>
      <c r="C734" s="12" t="s">
        <v>38</v>
      </c>
      <c r="D734" s="13" t="s">
        <v>2312</v>
      </c>
      <c r="E734" s="11"/>
      <c r="F734" s="12"/>
      <c r="G734" s="13" t="str">
        <f>"9781906523732"</f>
        <v>9781906523732</v>
      </c>
      <c r="H734" s="13" t="s">
        <v>1842</v>
      </c>
      <c r="I734" s="11" t="s">
        <v>2774</v>
      </c>
      <c r="J734" s="11"/>
      <c r="K734" s="11"/>
      <c r="L734" s="11"/>
      <c r="M734" s="13" t="s">
        <v>2237</v>
      </c>
      <c r="N734" s="12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3" t="s">
        <v>2766</v>
      </c>
      <c r="AB734" s="13">
        <v>382.09172000000001</v>
      </c>
      <c r="AC734" s="13" t="s">
        <v>2314</v>
      </c>
      <c r="AD734" s="13" t="s">
        <v>771</v>
      </c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</row>
    <row r="735" spans="1:40" ht="20.100000000000001" customHeight="1">
      <c r="A735" s="11">
        <v>734</v>
      </c>
      <c r="B735" s="12" t="s">
        <v>38</v>
      </c>
      <c r="C735" s="12" t="s">
        <v>38</v>
      </c>
      <c r="D735" s="13" t="s">
        <v>2312</v>
      </c>
      <c r="E735" s="11"/>
      <c r="F735" s="12"/>
      <c r="G735" s="13" t="str">
        <f>"9781906523527"</f>
        <v>9781906523527</v>
      </c>
      <c r="H735" s="13" t="s">
        <v>1843</v>
      </c>
      <c r="I735" s="11" t="s">
        <v>2774</v>
      </c>
      <c r="J735" s="11"/>
      <c r="K735" s="11"/>
      <c r="L735" s="11"/>
      <c r="M735" s="13" t="s">
        <v>2237</v>
      </c>
      <c r="N735" s="12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3" t="s">
        <v>2766</v>
      </c>
      <c r="AB735" s="13">
        <v>303.69</v>
      </c>
      <c r="AC735" s="13" t="s">
        <v>2318</v>
      </c>
      <c r="AD735" s="13" t="s">
        <v>772</v>
      </c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</row>
    <row r="736" spans="1:40" ht="20.100000000000001" customHeight="1">
      <c r="A736" s="11">
        <v>735</v>
      </c>
      <c r="B736" s="12" t="s">
        <v>38</v>
      </c>
      <c r="C736" s="12" t="s">
        <v>38</v>
      </c>
      <c r="D736" s="13" t="s">
        <v>2312</v>
      </c>
      <c r="E736" s="11"/>
      <c r="F736" s="12"/>
      <c r="G736" s="13" t="str">
        <f>"9781780261270"</f>
        <v>9781780261270</v>
      </c>
      <c r="H736" s="13" t="s">
        <v>1844</v>
      </c>
      <c r="I736" s="11" t="s">
        <v>2788</v>
      </c>
      <c r="J736" s="11"/>
      <c r="K736" s="11"/>
      <c r="L736" s="11"/>
      <c r="M736" s="13" t="s">
        <v>2237</v>
      </c>
      <c r="N736" s="12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3" t="s">
        <v>2766</v>
      </c>
      <c r="AB736" s="13">
        <v>338.90089999999998</v>
      </c>
      <c r="AC736" s="13" t="s">
        <v>2359</v>
      </c>
      <c r="AD736" s="13" t="s">
        <v>773</v>
      </c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</row>
    <row r="737" spans="1:40" ht="20.100000000000001" customHeight="1">
      <c r="A737" s="11">
        <v>736</v>
      </c>
      <c r="B737" s="12" t="s">
        <v>38</v>
      </c>
      <c r="C737" s="12" t="s">
        <v>38</v>
      </c>
      <c r="D737" s="13" t="s">
        <v>2312</v>
      </c>
      <c r="E737" s="11"/>
      <c r="F737" s="12"/>
      <c r="G737" s="13" t="str">
        <f>"9780780812765"</f>
        <v>9780780812765</v>
      </c>
      <c r="H737" s="13" t="s">
        <v>1845</v>
      </c>
      <c r="I737" s="11" t="s">
        <v>2785</v>
      </c>
      <c r="J737" s="11"/>
      <c r="K737" s="11"/>
      <c r="L737" s="11"/>
      <c r="M737" s="13" t="s">
        <v>2238</v>
      </c>
      <c r="N737" s="12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3" t="s">
        <v>2766</v>
      </c>
      <c r="AB737" s="13">
        <v>616.89</v>
      </c>
      <c r="AC737" s="13" t="s">
        <v>2327</v>
      </c>
      <c r="AD737" s="13" t="s">
        <v>774</v>
      </c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</row>
    <row r="738" spans="1:40" ht="20.100000000000001" customHeight="1">
      <c r="A738" s="11">
        <v>737</v>
      </c>
      <c r="B738" s="12" t="s">
        <v>38</v>
      </c>
      <c r="C738" s="12" t="s">
        <v>38</v>
      </c>
      <c r="D738" s="13" t="s">
        <v>2312</v>
      </c>
      <c r="E738" s="11"/>
      <c r="F738" s="12"/>
      <c r="G738" s="13" t="str">
        <f>"9781610601429"</f>
        <v>9781610601429</v>
      </c>
      <c r="H738" s="13" t="s">
        <v>1846</v>
      </c>
      <c r="I738" s="11" t="s">
        <v>2778</v>
      </c>
      <c r="J738" s="11"/>
      <c r="K738" s="11"/>
      <c r="L738" s="11"/>
      <c r="M738" s="13" t="s">
        <v>2239</v>
      </c>
      <c r="N738" s="12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3" t="s">
        <v>2766</v>
      </c>
      <c r="AB738" s="13">
        <v>741.67200000000003</v>
      </c>
      <c r="AC738" s="13" t="s">
        <v>2315</v>
      </c>
      <c r="AD738" s="13" t="s">
        <v>775</v>
      </c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</row>
    <row r="739" spans="1:40" ht="20.100000000000001" customHeight="1">
      <c r="A739" s="11">
        <v>738</v>
      </c>
      <c r="B739" s="12" t="s">
        <v>38</v>
      </c>
      <c r="C739" s="12" t="s">
        <v>38</v>
      </c>
      <c r="D739" s="13" t="s">
        <v>2312</v>
      </c>
      <c r="E739" s="11"/>
      <c r="F739" s="12"/>
      <c r="G739" s="13" t="str">
        <f>"9781616736651"</f>
        <v>9781616736651</v>
      </c>
      <c r="H739" s="13" t="s">
        <v>1847</v>
      </c>
      <c r="I739" s="11" t="s">
        <v>2780</v>
      </c>
      <c r="J739" s="11"/>
      <c r="K739" s="11"/>
      <c r="L739" s="11"/>
      <c r="M739" s="13" t="s">
        <v>2239</v>
      </c>
      <c r="N739" s="12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3" t="s">
        <v>2766</v>
      </c>
      <c r="AB739" s="13">
        <v>741.67200000000003</v>
      </c>
      <c r="AC739" s="13" t="s">
        <v>2315</v>
      </c>
      <c r="AD739" s="13" t="s">
        <v>776</v>
      </c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</row>
    <row r="740" spans="1:40" ht="20.100000000000001" customHeight="1">
      <c r="A740" s="11">
        <v>739</v>
      </c>
      <c r="B740" s="12" t="s">
        <v>38</v>
      </c>
      <c r="C740" s="12" t="s">
        <v>38</v>
      </c>
      <c r="D740" s="13" t="s">
        <v>2312</v>
      </c>
      <c r="E740" s="11"/>
      <c r="F740" s="12"/>
      <c r="G740" s="13" t="str">
        <f>"9781616736057"</f>
        <v>9781616736057</v>
      </c>
      <c r="H740" s="13" t="s">
        <v>1848</v>
      </c>
      <c r="I740" s="11" t="s">
        <v>2780</v>
      </c>
      <c r="J740" s="11"/>
      <c r="K740" s="11"/>
      <c r="L740" s="11"/>
      <c r="M740" s="13" t="s">
        <v>2239</v>
      </c>
      <c r="N740" s="12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3" t="s">
        <v>2766</v>
      </c>
      <c r="AB740" s="13">
        <v>746.92092200000002</v>
      </c>
      <c r="AC740" s="13" t="s">
        <v>2315</v>
      </c>
      <c r="AD740" s="13" t="s">
        <v>777</v>
      </c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</row>
    <row r="741" spans="1:40" ht="20.100000000000001" customHeight="1">
      <c r="A741" s="11">
        <v>740</v>
      </c>
      <c r="B741" s="12" t="s">
        <v>38</v>
      </c>
      <c r="C741" s="12" t="s">
        <v>38</v>
      </c>
      <c r="D741" s="13" t="s">
        <v>2312</v>
      </c>
      <c r="E741" s="11"/>
      <c r="F741" s="12"/>
      <c r="G741" s="13" t="str">
        <f>"9781616736149"</f>
        <v>9781616736149</v>
      </c>
      <c r="H741" s="13" t="s">
        <v>1849</v>
      </c>
      <c r="I741" s="11" t="s">
        <v>2780</v>
      </c>
      <c r="J741" s="11"/>
      <c r="K741" s="11"/>
      <c r="L741" s="11"/>
      <c r="M741" s="13" t="s">
        <v>2239</v>
      </c>
      <c r="N741" s="12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3" t="s">
        <v>2766</v>
      </c>
      <c r="AB741" s="13">
        <v>741.6</v>
      </c>
      <c r="AC741" s="13" t="s">
        <v>2315</v>
      </c>
      <c r="AD741" s="13" t="s">
        <v>778</v>
      </c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</row>
    <row r="742" spans="1:40" ht="20.100000000000001" customHeight="1">
      <c r="A742" s="11">
        <v>741</v>
      </c>
      <c r="B742" s="12" t="s">
        <v>38</v>
      </c>
      <c r="C742" s="12" t="s">
        <v>38</v>
      </c>
      <c r="D742" s="13" t="s">
        <v>2312</v>
      </c>
      <c r="E742" s="11"/>
      <c r="F742" s="12"/>
      <c r="G742" s="13" t="str">
        <f>"9781616736545"</f>
        <v>9781616736545</v>
      </c>
      <c r="H742" s="13" t="s">
        <v>1850</v>
      </c>
      <c r="I742" s="11" t="s">
        <v>2780</v>
      </c>
      <c r="J742" s="11"/>
      <c r="K742" s="11"/>
      <c r="L742" s="11"/>
      <c r="M742" s="13" t="s">
        <v>2239</v>
      </c>
      <c r="N742" s="12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3" t="s">
        <v>2766</v>
      </c>
      <c r="AB742" s="13">
        <v>686.2</v>
      </c>
      <c r="AC742" s="13" t="s">
        <v>2471</v>
      </c>
      <c r="AD742" s="13" t="s">
        <v>779</v>
      </c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</row>
    <row r="743" spans="1:40" ht="20.100000000000001" customHeight="1">
      <c r="A743" s="11">
        <v>742</v>
      </c>
      <c r="B743" s="12" t="s">
        <v>38</v>
      </c>
      <c r="C743" s="12" t="s">
        <v>38</v>
      </c>
      <c r="D743" s="13" t="s">
        <v>2312</v>
      </c>
      <c r="E743" s="11"/>
      <c r="F743" s="12"/>
      <c r="G743" s="13" t="str">
        <f>"9781610601689"</f>
        <v>9781610601689</v>
      </c>
      <c r="H743" s="13" t="s">
        <v>1851</v>
      </c>
      <c r="I743" s="11" t="s">
        <v>2777</v>
      </c>
      <c r="J743" s="11"/>
      <c r="K743" s="11"/>
      <c r="L743" s="11"/>
      <c r="M743" s="13" t="s">
        <v>2239</v>
      </c>
      <c r="N743" s="12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3" t="s">
        <v>2766</v>
      </c>
      <c r="AB743" s="13">
        <v>741.67200000000003</v>
      </c>
      <c r="AC743" s="13" t="s">
        <v>2315</v>
      </c>
      <c r="AD743" s="13" t="s">
        <v>780</v>
      </c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</row>
    <row r="744" spans="1:40" ht="20.100000000000001" customHeight="1">
      <c r="A744" s="11">
        <v>743</v>
      </c>
      <c r="B744" s="12" t="s">
        <v>38</v>
      </c>
      <c r="C744" s="12" t="s">
        <v>38</v>
      </c>
      <c r="D744" s="13" t="s">
        <v>2312</v>
      </c>
      <c r="E744" s="11"/>
      <c r="F744" s="12"/>
      <c r="G744" s="13" t="str">
        <f>"9781610601696"</f>
        <v>9781610601696</v>
      </c>
      <c r="H744" s="13" t="s">
        <v>1852</v>
      </c>
      <c r="I744" s="11" t="s">
        <v>2777</v>
      </c>
      <c r="J744" s="11"/>
      <c r="K744" s="11"/>
      <c r="L744" s="11"/>
      <c r="M744" s="13" t="s">
        <v>2239</v>
      </c>
      <c r="N744" s="12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3" t="s">
        <v>2766</v>
      </c>
      <c r="AB744" s="13">
        <v>741.67200000000003</v>
      </c>
      <c r="AC744" s="13" t="s">
        <v>2315</v>
      </c>
      <c r="AD744" s="13" t="s">
        <v>781</v>
      </c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</row>
    <row r="745" spans="1:40" ht="20.100000000000001" customHeight="1">
      <c r="A745" s="11">
        <v>744</v>
      </c>
      <c r="B745" s="12" t="s">
        <v>38</v>
      </c>
      <c r="C745" s="12" t="s">
        <v>38</v>
      </c>
      <c r="D745" s="13" t="s">
        <v>2312</v>
      </c>
      <c r="E745" s="11"/>
      <c r="F745" s="12"/>
      <c r="G745" s="13" t="str">
        <f>"9780252097478"</f>
        <v>9780252097478</v>
      </c>
      <c r="H745" s="13" t="s">
        <v>1853</v>
      </c>
      <c r="I745" s="11" t="s">
        <v>2774</v>
      </c>
      <c r="J745" s="11"/>
      <c r="K745" s="11"/>
      <c r="L745" s="11"/>
      <c r="M745" s="13" t="s">
        <v>2240</v>
      </c>
      <c r="N745" s="12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3" t="s">
        <v>2766</v>
      </c>
      <c r="AB745" s="13" t="s">
        <v>2716</v>
      </c>
      <c r="AC745" s="13" t="s">
        <v>2318</v>
      </c>
      <c r="AD745" s="13" t="s">
        <v>782</v>
      </c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</row>
    <row r="746" spans="1:40" ht="20.100000000000001" customHeight="1">
      <c r="A746" s="11">
        <v>745</v>
      </c>
      <c r="B746" s="12" t="s">
        <v>38</v>
      </c>
      <c r="C746" s="12" t="s">
        <v>38</v>
      </c>
      <c r="D746" s="13" t="s">
        <v>2312</v>
      </c>
      <c r="E746" s="11"/>
      <c r="F746" s="12"/>
      <c r="G746" s="13" t="str">
        <f>"9780300183627"</f>
        <v>9780300183627</v>
      </c>
      <c r="H746" s="13" t="s">
        <v>1854</v>
      </c>
      <c r="I746" s="11" t="s">
        <v>2785</v>
      </c>
      <c r="J746" s="11"/>
      <c r="K746" s="11"/>
      <c r="L746" s="11"/>
      <c r="M746" s="13" t="s">
        <v>2241</v>
      </c>
      <c r="N746" s="12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3" t="s">
        <v>2766</v>
      </c>
      <c r="AB746" s="13">
        <v>821.4</v>
      </c>
      <c r="AC746" s="13" t="s">
        <v>2313</v>
      </c>
      <c r="AD746" s="13" t="s">
        <v>783</v>
      </c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</row>
    <row r="747" spans="1:40" ht="20.100000000000001" customHeight="1">
      <c r="A747" s="11">
        <v>746</v>
      </c>
      <c r="B747" s="12" t="s">
        <v>38</v>
      </c>
      <c r="C747" s="12" t="s">
        <v>38</v>
      </c>
      <c r="D747" s="13" t="s">
        <v>2312</v>
      </c>
      <c r="E747" s="11"/>
      <c r="F747" s="12"/>
      <c r="G747" s="13" t="str">
        <f>"9780300183351"</f>
        <v>9780300183351</v>
      </c>
      <c r="H747" s="13" t="s">
        <v>1855</v>
      </c>
      <c r="I747" s="11" t="s">
        <v>2785</v>
      </c>
      <c r="J747" s="11"/>
      <c r="K747" s="11"/>
      <c r="L747" s="11"/>
      <c r="M747" s="13" t="s">
        <v>2241</v>
      </c>
      <c r="N747" s="12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3" t="s">
        <v>2766</v>
      </c>
      <c r="AB747" s="13" t="s">
        <v>2717</v>
      </c>
      <c r="AC747" s="13" t="s">
        <v>2457</v>
      </c>
      <c r="AD747" s="13" t="s">
        <v>784</v>
      </c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</row>
    <row r="748" spans="1:40" ht="20.100000000000001" customHeight="1">
      <c r="A748" s="11">
        <v>747</v>
      </c>
      <c r="B748" s="12" t="s">
        <v>38</v>
      </c>
      <c r="C748" s="12" t="s">
        <v>38</v>
      </c>
      <c r="D748" s="13" t="s">
        <v>2312</v>
      </c>
      <c r="E748" s="11"/>
      <c r="F748" s="12"/>
      <c r="G748" s="13" t="str">
        <f>"9780300188271"</f>
        <v>9780300188271</v>
      </c>
      <c r="H748" s="13" t="s">
        <v>1856</v>
      </c>
      <c r="I748" s="11" t="s">
        <v>2785</v>
      </c>
      <c r="J748" s="11"/>
      <c r="K748" s="11"/>
      <c r="L748" s="11"/>
      <c r="M748" s="13" t="s">
        <v>2241</v>
      </c>
      <c r="N748" s="12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3" t="s">
        <v>2766</v>
      </c>
      <c r="AB748" s="13">
        <v>221.61</v>
      </c>
      <c r="AC748" s="13" t="s">
        <v>2323</v>
      </c>
      <c r="AD748" s="13" t="s">
        <v>785</v>
      </c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</row>
    <row r="749" spans="1:40" ht="20.100000000000001" customHeight="1">
      <c r="A749" s="11">
        <v>748</v>
      </c>
      <c r="B749" s="12" t="s">
        <v>38</v>
      </c>
      <c r="C749" s="12" t="s">
        <v>38</v>
      </c>
      <c r="D749" s="13" t="s">
        <v>2312</v>
      </c>
      <c r="E749" s="11"/>
      <c r="F749" s="12"/>
      <c r="G749" s="13" t="str">
        <f>"9780300189131"</f>
        <v>9780300189131</v>
      </c>
      <c r="H749" s="13" t="s">
        <v>1857</v>
      </c>
      <c r="I749" s="11" t="s">
        <v>2785</v>
      </c>
      <c r="J749" s="11"/>
      <c r="K749" s="11"/>
      <c r="L749" s="11"/>
      <c r="M749" s="13" t="s">
        <v>2241</v>
      </c>
      <c r="N749" s="12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3" t="s">
        <v>2766</v>
      </c>
      <c r="AB749" s="13">
        <v>320.01</v>
      </c>
      <c r="AC749" s="13" t="s">
        <v>2329</v>
      </c>
      <c r="AD749" s="13" t="s">
        <v>786</v>
      </c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</row>
    <row r="750" spans="1:40" ht="20.100000000000001" customHeight="1">
      <c r="A750" s="11">
        <v>749</v>
      </c>
      <c r="B750" s="12" t="s">
        <v>38</v>
      </c>
      <c r="C750" s="12" t="s">
        <v>38</v>
      </c>
      <c r="D750" s="13" t="s">
        <v>2312</v>
      </c>
      <c r="E750" s="11"/>
      <c r="F750" s="12"/>
      <c r="G750" s="13" t="str">
        <f>"9780300163773"</f>
        <v>9780300163773</v>
      </c>
      <c r="H750" s="13" t="s">
        <v>1858</v>
      </c>
      <c r="I750" s="11" t="s">
        <v>2788</v>
      </c>
      <c r="J750" s="11"/>
      <c r="K750" s="11"/>
      <c r="L750" s="11"/>
      <c r="M750" s="13" t="s">
        <v>2241</v>
      </c>
      <c r="N750" s="12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3" t="s">
        <v>2766</v>
      </c>
      <c r="AB750" s="13">
        <v>491.73129999999998</v>
      </c>
      <c r="AC750" s="13" t="s">
        <v>2345</v>
      </c>
      <c r="AD750" s="13" t="s">
        <v>787</v>
      </c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</row>
    <row r="751" spans="1:40" ht="20.100000000000001" customHeight="1">
      <c r="A751" s="11">
        <v>750</v>
      </c>
      <c r="B751" s="12" t="s">
        <v>38</v>
      </c>
      <c r="C751" s="12" t="s">
        <v>38</v>
      </c>
      <c r="D751" s="13" t="s">
        <v>2312</v>
      </c>
      <c r="E751" s="11"/>
      <c r="F751" s="12"/>
      <c r="G751" s="13" t="str">
        <f>"9780780813632"</f>
        <v>9780780813632</v>
      </c>
      <c r="H751" s="13" t="s">
        <v>1859</v>
      </c>
      <c r="I751" s="11" t="s">
        <v>2789</v>
      </c>
      <c r="J751" s="11"/>
      <c r="K751" s="11"/>
      <c r="L751" s="11"/>
      <c r="M751" s="13" t="s">
        <v>2238</v>
      </c>
      <c r="N751" s="12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3" t="s">
        <v>2766</v>
      </c>
      <c r="AB751" s="13">
        <v>394.26029999999997</v>
      </c>
      <c r="AC751" s="13" t="s">
        <v>2318</v>
      </c>
      <c r="AD751" s="13" t="s">
        <v>788</v>
      </c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</row>
    <row r="752" spans="1:40" ht="20.100000000000001" customHeight="1">
      <c r="A752" s="11">
        <v>751</v>
      </c>
      <c r="B752" s="12" t="s">
        <v>38</v>
      </c>
      <c r="C752" s="12" t="s">
        <v>38</v>
      </c>
      <c r="D752" s="13" t="s">
        <v>2312</v>
      </c>
      <c r="E752" s="11"/>
      <c r="F752" s="12"/>
      <c r="G752" s="13" t="str">
        <f>"9781925022391"</f>
        <v>9781925022391</v>
      </c>
      <c r="H752" s="13" t="s">
        <v>1860</v>
      </c>
      <c r="I752" s="11" t="s">
        <v>2789</v>
      </c>
      <c r="J752" s="11"/>
      <c r="K752" s="11"/>
      <c r="L752" s="11"/>
      <c r="M752" s="13" t="s">
        <v>2242</v>
      </c>
      <c r="N752" s="12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3" t="s">
        <v>2766</v>
      </c>
      <c r="AB752" s="13">
        <v>323.49095985999998</v>
      </c>
      <c r="AC752" s="13" t="s">
        <v>2329</v>
      </c>
      <c r="AD752" s="13" t="s">
        <v>789</v>
      </c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</row>
    <row r="753" spans="1:40" ht="20.100000000000001" customHeight="1">
      <c r="A753" s="11">
        <v>752</v>
      </c>
      <c r="B753" s="12" t="s">
        <v>38</v>
      </c>
      <c r="C753" s="12" t="s">
        <v>38</v>
      </c>
      <c r="D753" s="13" t="s">
        <v>2312</v>
      </c>
      <c r="E753" s="11"/>
      <c r="F753" s="12"/>
      <c r="G753" s="13" t="str">
        <f>"9781925022254"</f>
        <v>9781925022254</v>
      </c>
      <c r="H753" s="13" t="s">
        <v>1861</v>
      </c>
      <c r="I753" s="11" t="s">
        <v>2789</v>
      </c>
      <c r="J753" s="11"/>
      <c r="K753" s="11"/>
      <c r="L753" s="11"/>
      <c r="M753" s="13" t="s">
        <v>2242</v>
      </c>
      <c r="N753" s="12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3" t="s">
        <v>2766</v>
      </c>
      <c r="AB753" s="13">
        <v>920.02</v>
      </c>
      <c r="AC753" s="13" t="s">
        <v>2317</v>
      </c>
      <c r="AD753" s="13" t="s">
        <v>790</v>
      </c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</row>
    <row r="754" spans="1:40" ht="20.100000000000001" customHeight="1">
      <c r="A754" s="11">
        <v>753</v>
      </c>
      <c r="B754" s="12" t="s">
        <v>38</v>
      </c>
      <c r="C754" s="12" t="s">
        <v>38</v>
      </c>
      <c r="D754" s="13" t="s">
        <v>2312</v>
      </c>
      <c r="E754" s="11"/>
      <c r="F754" s="12"/>
      <c r="G754" s="13" t="str">
        <f>"9781869221980"</f>
        <v>9781869221980</v>
      </c>
      <c r="H754" s="13" t="s">
        <v>1862</v>
      </c>
      <c r="I754" s="11" t="s">
        <v>2786</v>
      </c>
      <c r="J754" s="11"/>
      <c r="K754" s="11"/>
      <c r="L754" s="11"/>
      <c r="M754" s="13" t="s">
        <v>2243</v>
      </c>
      <c r="N754" s="12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3" t="s">
        <v>2766</v>
      </c>
      <c r="AB754" s="13"/>
      <c r="AC754" s="13" t="s">
        <v>2314</v>
      </c>
      <c r="AD754" s="13" t="s">
        <v>791</v>
      </c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</row>
    <row r="755" spans="1:40" ht="20.100000000000001" customHeight="1">
      <c r="A755" s="11">
        <v>754</v>
      </c>
      <c r="B755" s="12" t="s">
        <v>38</v>
      </c>
      <c r="C755" s="12" t="s">
        <v>38</v>
      </c>
      <c r="D755" s="13" t="s">
        <v>2312</v>
      </c>
      <c r="E755" s="11"/>
      <c r="F755" s="12"/>
      <c r="G755" s="13" t="str">
        <f>"9780830867080"</f>
        <v>9780830867080</v>
      </c>
      <c r="H755" s="13" t="s">
        <v>1863</v>
      </c>
      <c r="I755" s="11" t="s">
        <v>2774</v>
      </c>
      <c r="J755" s="11"/>
      <c r="K755" s="11"/>
      <c r="L755" s="11"/>
      <c r="M755" s="13" t="s">
        <v>2220</v>
      </c>
      <c r="N755" s="12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3" t="s">
        <v>2766</v>
      </c>
      <c r="AB755" s="13">
        <v>200</v>
      </c>
      <c r="AC755" s="13" t="s">
        <v>2323</v>
      </c>
      <c r="AD755" s="13" t="s">
        <v>792</v>
      </c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</row>
    <row r="756" spans="1:40" ht="20.100000000000001" customHeight="1">
      <c r="A756" s="11">
        <v>755</v>
      </c>
      <c r="B756" s="12" t="s">
        <v>38</v>
      </c>
      <c r="C756" s="12" t="s">
        <v>38</v>
      </c>
      <c r="D756" s="13" t="s">
        <v>2312</v>
      </c>
      <c r="E756" s="11"/>
      <c r="F756" s="12"/>
      <c r="G756" s="13" t="str">
        <f>"9783110971781"</f>
        <v>9783110971781</v>
      </c>
      <c r="H756" s="13" t="s">
        <v>1864</v>
      </c>
      <c r="I756" s="11" t="s">
        <v>2778</v>
      </c>
      <c r="J756" s="11"/>
      <c r="K756" s="11"/>
      <c r="L756" s="11"/>
      <c r="M756" s="13" t="s">
        <v>2201</v>
      </c>
      <c r="N756" s="12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3" t="s">
        <v>2766</v>
      </c>
      <c r="AB756" s="13"/>
      <c r="AC756" s="13" t="s">
        <v>2399</v>
      </c>
      <c r="AD756" s="13" t="s">
        <v>793</v>
      </c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</row>
    <row r="757" spans="1:40" ht="20.100000000000001" customHeight="1">
      <c r="A757" s="11">
        <v>756</v>
      </c>
      <c r="B757" s="12" t="s">
        <v>38</v>
      </c>
      <c r="C757" s="12" t="s">
        <v>38</v>
      </c>
      <c r="D757" s="13" t="s">
        <v>2312</v>
      </c>
      <c r="E757" s="11"/>
      <c r="F757" s="12"/>
      <c r="G757" s="13" t="str">
        <f>"9783110949261"</f>
        <v>9783110949261</v>
      </c>
      <c r="H757" s="13" t="s">
        <v>1865</v>
      </c>
      <c r="I757" s="11" t="s">
        <v>2778</v>
      </c>
      <c r="J757" s="11"/>
      <c r="K757" s="11"/>
      <c r="L757" s="11"/>
      <c r="M757" s="13" t="s">
        <v>2201</v>
      </c>
      <c r="N757" s="12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3" t="s">
        <v>2766</v>
      </c>
      <c r="AB757" s="13">
        <v>920</v>
      </c>
      <c r="AC757" s="13" t="s">
        <v>2317</v>
      </c>
      <c r="AD757" s="13" t="s">
        <v>794</v>
      </c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</row>
    <row r="758" spans="1:40" ht="20.100000000000001" customHeight="1">
      <c r="A758" s="11">
        <v>757</v>
      </c>
      <c r="B758" s="12" t="s">
        <v>38</v>
      </c>
      <c r="C758" s="12" t="s">
        <v>38</v>
      </c>
      <c r="D758" s="13" t="s">
        <v>2312</v>
      </c>
      <c r="E758" s="11"/>
      <c r="F758" s="12"/>
      <c r="G758" s="13" t="str">
        <f>"9781118325087"</f>
        <v>9781118325087</v>
      </c>
      <c r="H758" s="13" t="s">
        <v>1866</v>
      </c>
      <c r="I758" s="11" t="s">
        <v>2788</v>
      </c>
      <c r="J758" s="11"/>
      <c r="K758" s="11"/>
      <c r="L758" s="11"/>
      <c r="M758" s="13" t="s">
        <v>2176</v>
      </c>
      <c r="N758" s="12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3" t="s">
        <v>2766</v>
      </c>
      <c r="AB758" s="13">
        <v>709.32</v>
      </c>
      <c r="AC758" s="13" t="s">
        <v>2315</v>
      </c>
      <c r="AD758" s="13" t="s">
        <v>795</v>
      </c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</row>
    <row r="759" spans="1:40" ht="20.100000000000001" customHeight="1">
      <c r="A759" s="11">
        <v>758</v>
      </c>
      <c r="B759" s="12" t="s">
        <v>38</v>
      </c>
      <c r="C759" s="12" t="s">
        <v>38</v>
      </c>
      <c r="D759" s="13" t="s">
        <v>2312</v>
      </c>
      <c r="E759" s="11"/>
      <c r="F759" s="12"/>
      <c r="G759" s="13" t="str">
        <f>"9781118474921"</f>
        <v>9781118474921</v>
      </c>
      <c r="H759" s="13" t="s">
        <v>1867</v>
      </c>
      <c r="I759" s="11" t="s">
        <v>2789</v>
      </c>
      <c r="J759" s="11"/>
      <c r="K759" s="11"/>
      <c r="L759" s="11"/>
      <c r="M759" s="13" t="s">
        <v>2176</v>
      </c>
      <c r="N759" s="12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3" t="s">
        <v>2766</v>
      </c>
      <c r="AB759" s="13" t="s">
        <v>2718</v>
      </c>
      <c r="AC759" s="13" t="s">
        <v>2429</v>
      </c>
      <c r="AD759" s="13" t="s">
        <v>796</v>
      </c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</row>
    <row r="760" spans="1:40" ht="20.100000000000001" customHeight="1">
      <c r="A760" s="11">
        <v>759</v>
      </c>
      <c r="B760" s="12" t="s">
        <v>38</v>
      </c>
      <c r="C760" s="12" t="s">
        <v>38</v>
      </c>
      <c r="D760" s="13" t="s">
        <v>2312</v>
      </c>
      <c r="E760" s="11"/>
      <c r="F760" s="12"/>
      <c r="G760" s="13" t="str">
        <f>"9781118556658"</f>
        <v>9781118556658</v>
      </c>
      <c r="H760" s="13" t="s">
        <v>1868</v>
      </c>
      <c r="I760" s="11" t="s">
        <v>2780</v>
      </c>
      <c r="J760" s="11"/>
      <c r="K760" s="11"/>
      <c r="L760" s="11"/>
      <c r="M760" s="13" t="s">
        <v>2176</v>
      </c>
      <c r="N760" s="12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3" t="s">
        <v>2766</v>
      </c>
      <c r="AB760" s="13">
        <v>938</v>
      </c>
      <c r="AC760" s="13" t="s">
        <v>2317</v>
      </c>
      <c r="AD760" s="13" t="s">
        <v>797</v>
      </c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</row>
    <row r="761" spans="1:40" ht="20.100000000000001" customHeight="1">
      <c r="A761" s="11">
        <v>760</v>
      </c>
      <c r="B761" s="12" t="s">
        <v>38</v>
      </c>
      <c r="C761" s="12" t="s">
        <v>38</v>
      </c>
      <c r="D761" s="13" t="s">
        <v>2312</v>
      </c>
      <c r="E761" s="11"/>
      <c r="F761" s="12"/>
      <c r="G761" s="13" t="str">
        <f>"9781118607237"</f>
        <v>9781118607237</v>
      </c>
      <c r="H761" s="13" t="s">
        <v>1869</v>
      </c>
      <c r="I761" s="11" t="s">
        <v>2789</v>
      </c>
      <c r="J761" s="11"/>
      <c r="K761" s="11"/>
      <c r="L761" s="11"/>
      <c r="M761" s="13" t="s">
        <v>2176</v>
      </c>
      <c r="N761" s="12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3" t="s">
        <v>2766</v>
      </c>
      <c r="AB761" s="13">
        <v>823.00900000000001</v>
      </c>
      <c r="AC761" s="13" t="s">
        <v>2313</v>
      </c>
      <c r="AD761" s="13" t="s">
        <v>798</v>
      </c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</row>
    <row r="762" spans="1:40" ht="20.100000000000001" customHeight="1">
      <c r="A762" s="11">
        <v>761</v>
      </c>
      <c r="B762" s="12" t="s">
        <v>38</v>
      </c>
      <c r="C762" s="12" t="s">
        <v>38</v>
      </c>
      <c r="D762" s="13" t="s">
        <v>2312</v>
      </c>
      <c r="E762" s="11"/>
      <c r="F762" s="12"/>
      <c r="G762" s="13" t="str">
        <f>"9781118607299"</f>
        <v>9781118607299</v>
      </c>
      <c r="H762" s="13" t="s">
        <v>1870</v>
      </c>
      <c r="I762" s="11" t="s">
        <v>2788</v>
      </c>
      <c r="J762" s="11"/>
      <c r="K762" s="11"/>
      <c r="L762" s="11"/>
      <c r="M762" s="13" t="s">
        <v>2176</v>
      </c>
      <c r="N762" s="12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3" t="s">
        <v>2766</v>
      </c>
      <c r="AB762" s="13"/>
      <c r="AC762" s="13" t="s">
        <v>2325</v>
      </c>
      <c r="AD762" s="13" t="s">
        <v>799</v>
      </c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</row>
    <row r="763" spans="1:40" ht="20.100000000000001" customHeight="1">
      <c r="A763" s="11">
        <v>762</v>
      </c>
      <c r="B763" s="12" t="s">
        <v>38</v>
      </c>
      <c r="C763" s="12" t="s">
        <v>38</v>
      </c>
      <c r="D763" s="13" t="s">
        <v>2312</v>
      </c>
      <c r="E763" s="11"/>
      <c r="F763" s="12"/>
      <c r="G763" s="13" t="str">
        <f>"9781118661635"</f>
        <v>9781118661635</v>
      </c>
      <c r="H763" s="13" t="s">
        <v>1871</v>
      </c>
      <c r="I763" s="11" t="s">
        <v>2780</v>
      </c>
      <c r="J763" s="11"/>
      <c r="K763" s="11"/>
      <c r="L763" s="11"/>
      <c r="M763" s="13" t="s">
        <v>2176</v>
      </c>
      <c r="N763" s="12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3" t="s">
        <v>2766</v>
      </c>
      <c r="AB763" s="13"/>
      <c r="AC763" s="13" t="s">
        <v>2313</v>
      </c>
      <c r="AD763" s="13" t="s">
        <v>800</v>
      </c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</row>
    <row r="764" spans="1:40" ht="20.100000000000001" customHeight="1">
      <c r="A764" s="11">
        <v>763</v>
      </c>
      <c r="B764" s="12" t="s">
        <v>38</v>
      </c>
      <c r="C764" s="12" t="s">
        <v>38</v>
      </c>
      <c r="D764" s="13" t="s">
        <v>2312</v>
      </c>
      <c r="E764" s="11"/>
      <c r="F764" s="12"/>
      <c r="G764" s="13" t="str">
        <f>"9781118718650"</f>
        <v>9781118718650</v>
      </c>
      <c r="H764" s="13" t="s">
        <v>1872</v>
      </c>
      <c r="I764" s="11" t="s">
        <v>2789</v>
      </c>
      <c r="J764" s="11"/>
      <c r="K764" s="11"/>
      <c r="L764" s="11"/>
      <c r="M764" s="13" t="s">
        <v>2176</v>
      </c>
      <c r="N764" s="12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3" t="s">
        <v>2766</v>
      </c>
      <c r="AB764" s="13" t="s">
        <v>2719</v>
      </c>
      <c r="AC764" s="13" t="s">
        <v>2323</v>
      </c>
      <c r="AD764" s="13" t="s">
        <v>801</v>
      </c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</row>
    <row r="765" spans="1:40" ht="20.100000000000001" customHeight="1">
      <c r="A765" s="11">
        <v>764</v>
      </c>
      <c r="B765" s="12" t="s">
        <v>38</v>
      </c>
      <c r="C765" s="12" t="s">
        <v>38</v>
      </c>
      <c r="D765" s="13" t="s">
        <v>2312</v>
      </c>
      <c r="E765" s="11"/>
      <c r="F765" s="12"/>
      <c r="G765" s="13" t="str">
        <f>"9781118726754"</f>
        <v>9781118726754</v>
      </c>
      <c r="H765" s="13" t="s">
        <v>1873</v>
      </c>
      <c r="I765" s="11" t="s">
        <v>2789</v>
      </c>
      <c r="J765" s="11"/>
      <c r="K765" s="11"/>
      <c r="L765" s="11"/>
      <c r="M765" s="13" t="s">
        <v>2176</v>
      </c>
      <c r="N765" s="12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3" t="s">
        <v>2766</v>
      </c>
      <c r="AB765" s="13">
        <v>364.10660000000001</v>
      </c>
      <c r="AC765" s="13" t="s">
        <v>2318</v>
      </c>
      <c r="AD765" s="13" t="s">
        <v>802</v>
      </c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</row>
    <row r="766" spans="1:40" ht="20.100000000000001" customHeight="1">
      <c r="A766" s="11">
        <v>765</v>
      </c>
      <c r="B766" s="12" t="s">
        <v>38</v>
      </c>
      <c r="C766" s="12" t="s">
        <v>38</v>
      </c>
      <c r="D766" s="13" t="s">
        <v>2312</v>
      </c>
      <c r="E766" s="11"/>
      <c r="F766" s="12"/>
      <c r="G766" s="13" t="str">
        <f>"9781118762196"</f>
        <v>9781118762196</v>
      </c>
      <c r="H766" s="13" t="s">
        <v>1874</v>
      </c>
      <c r="I766" s="11" t="s">
        <v>2789</v>
      </c>
      <c r="J766" s="11"/>
      <c r="K766" s="11"/>
      <c r="L766" s="11"/>
      <c r="M766" s="13" t="s">
        <v>2176</v>
      </c>
      <c r="N766" s="12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3" t="s">
        <v>2766</v>
      </c>
      <c r="AB766" s="13" t="s">
        <v>2586</v>
      </c>
      <c r="AC766" s="13" t="s">
        <v>2349</v>
      </c>
      <c r="AD766" s="13" t="s">
        <v>803</v>
      </c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</row>
    <row r="767" spans="1:40" ht="20.100000000000001" customHeight="1">
      <c r="A767" s="11">
        <v>766</v>
      </c>
      <c r="B767" s="12" t="s">
        <v>38</v>
      </c>
      <c r="C767" s="12" t="s">
        <v>38</v>
      </c>
      <c r="D767" s="13" t="s">
        <v>2312</v>
      </c>
      <c r="E767" s="11"/>
      <c r="F767" s="12"/>
      <c r="G767" s="13" t="str">
        <f>"9781118768808"</f>
        <v>9781118768808</v>
      </c>
      <c r="H767" s="13" t="s">
        <v>1875</v>
      </c>
      <c r="I767" s="11" t="s">
        <v>2788</v>
      </c>
      <c r="J767" s="11"/>
      <c r="K767" s="11"/>
      <c r="L767" s="11"/>
      <c r="M767" s="13" t="s">
        <v>2176</v>
      </c>
      <c r="N767" s="12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3" t="s">
        <v>2766</v>
      </c>
      <c r="AB767" s="13">
        <v>703</v>
      </c>
      <c r="AC767" s="13" t="s">
        <v>2315</v>
      </c>
      <c r="AD767" s="13" t="s">
        <v>804</v>
      </c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</row>
    <row r="768" spans="1:40" ht="20.100000000000001" customHeight="1">
      <c r="A768" s="11">
        <v>767</v>
      </c>
      <c r="B768" s="12" t="s">
        <v>38</v>
      </c>
      <c r="C768" s="12" t="s">
        <v>38</v>
      </c>
      <c r="D768" s="13" t="s">
        <v>2312</v>
      </c>
      <c r="E768" s="11"/>
      <c r="F768" s="12"/>
      <c r="G768" s="13" t="str">
        <f>"9781118786277"</f>
        <v>9781118786277</v>
      </c>
      <c r="H768" s="13" t="s">
        <v>1876</v>
      </c>
      <c r="I768" s="11" t="s">
        <v>2789</v>
      </c>
      <c r="J768" s="11"/>
      <c r="K768" s="11"/>
      <c r="L768" s="11"/>
      <c r="M768" s="13" t="s">
        <v>2176</v>
      </c>
      <c r="N768" s="12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3" t="s">
        <v>2766</v>
      </c>
      <c r="AB768" s="13">
        <v>295</v>
      </c>
      <c r="AC768" s="13" t="s">
        <v>2323</v>
      </c>
      <c r="AD768" s="13" t="s">
        <v>805</v>
      </c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</row>
    <row r="769" spans="1:40" ht="20.100000000000001" customHeight="1">
      <c r="A769" s="11">
        <v>768</v>
      </c>
      <c r="B769" s="12" t="s">
        <v>38</v>
      </c>
      <c r="C769" s="12" t="s">
        <v>38</v>
      </c>
      <c r="D769" s="13" t="s">
        <v>2312</v>
      </c>
      <c r="E769" s="11"/>
      <c r="F769" s="12"/>
      <c r="G769" s="13" t="str">
        <f>"9781118802953"</f>
        <v>9781118802953</v>
      </c>
      <c r="H769" s="13" t="s">
        <v>1877</v>
      </c>
      <c r="I769" s="11" t="s">
        <v>2788</v>
      </c>
      <c r="J769" s="11"/>
      <c r="K769" s="11"/>
      <c r="L769" s="11"/>
      <c r="M769" s="13" t="s">
        <v>2176</v>
      </c>
      <c r="N769" s="12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3" t="s">
        <v>2766</v>
      </c>
      <c r="AB769" s="13"/>
      <c r="AC769" s="13" t="s">
        <v>2317</v>
      </c>
      <c r="AD769" s="13" t="s">
        <v>806</v>
      </c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</row>
    <row r="770" spans="1:40" ht="20.100000000000001" customHeight="1">
      <c r="A770" s="11">
        <v>769</v>
      </c>
      <c r="B770" s="12" t="s">
        <v>38</v>
      </c>
      <c r="C770" s="12" t="s">
        <v>38</v>
      </c>
      <c r="D770" s="13" t="s">
        <v>2312</v>
      </c>
      <c r="E770" s="11"/>
      <c r="F770" s="12"/>
      <c r="G770" s="13" t="str">
        <f>"9781118845288"</f>
        <v>9781118845288</v>
      </c>
      <c r="H770" s="13" t="s">
        <v>1878</v>
      </c>
      <c r="I770" s="11" t="s">
        <v>2789</v>
      </c>
      <c r="J770" s="11"/>
      <c r="K770" s="11"/>
      <c r="L770" s="11"/>
      <c r="M770" s="13" t="s">
        <v>2176</v>
      </c>
      <c r="N770" s="12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3" t="s">
        <v>2766</v>
      </c>
      <c r="AB770" s="13">
        <v>372.41</v>
      </c>
      <c r="AC770" s="13" t="s">
        <v>2349</v>
      </c>
      <c r="AD770" s="13" t="s">
        <v>807</v>
      </c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</row>
    <row r="771" spans="1:40" ht="20.100000000000001" customHeight="1">
      <c r="A771" s="11">
        <v>770</v>
      </c>
      <c r="B771" s="12" t="s">
        <v>38</v>
      </c>
      <c r="C771" s="12" t="s">
        <v>38</v>
      </c>
      <c r="D771" s="13" t="s">
        <v>2312</v>
      </c>
      <c r="E771" s="11"/>
      <c r="F771" s="12"/>
      <c r="G771" s="13" t="str">
        <f>"9781118886045"</f>
        <v>9781118886045</v>
      </c>
      <c r="H771" s="13" t="s">
        <v>1879</v>
      </c>
      <c r="I771" s="11" t="s">
        <v>2789</v>
      </c>
      <c r="J771" s="11"/>
      <c r="K771" s="11"/>
      <c r="L771" s="11"/>
      <c r="M771" s="13" t="s">
        <v>2176</v>
      </c>
      <c r="N771" s="12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3" t="s">
        <v>2766</v>
      </c>
      <c r="AB771" s="13">
        <v>709.37</v>
      </c>
      <c r="AC771" s="13" t="s">
        <v>2315</v>
      </c>
      <c r="AD771" s="13" t="s">
        <v>808</v>
      </c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</row>
    <row r="772" spans="1:40" ht="20.100000000000001" customHeight="1">
      <c r="A772" s="11">
        <v>771</v>
      </c>
      <c r="B772" s="12" t="s">
        <v>38</v>
      </c>
      <c r="C772" s="12" t="s">
        <v>38</v>
      </c>
      <c r="D772" s="13" t="s">
        <v>2312</v>
      </c>
      <c r="E772" s="11"/>
      <c r="F772" s="12"/>
      <c r="G772" s="13" t="str">
        <f>"9781118916247"</f>
        <v>9781118916247</v>
      </c>
      <c r="H772" s="13" t="s">
        <v>1880</v>
      </c>
      <c r="I772" s="11" t="s">
        <v>2789</v>
      </c>
      <c r="J772" s="11"/>
      <c r="K772" s="11"/>
      <c r="L772" s="11"/>
      <c r="M772" s="13" t="s">
        <v>2176</v>
      </c>
      <c r="N772" s="12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3" t="s">
        <v>2766</v>
      </c>
      <c r="AB772" s="13" t="s">
        <v>2720</v>
      </c>
      <c r="AC772" s="13" t="s">
        <v>2327</v>
      </c>
      <c r="AD772" s="13" t="s">
        <v>809</v>
      </c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</row>
    <row r="773" spans="1:40" ht="20.100000000000001" customHeight="1">
      <c r="A773" s="11">
        <v>772</v>
      </c>
      <c r="B773" s="12" t="s">
        <v>38</v>
      </c>
      <c r="C773" s="12" t="s">
        <v>38</v>
      </c>
      <c r="D773" s="13" t="s">
        <v>2312</v>
      </c>
      <c r="E773" s="11"/>
      <c r="F773" s="12"/>
      <c r="G773" s="13" t="str">
        <f>"9781118979006"</f>
        <v>9781118979006</v>
      </c>
      <c r="H773" s="13" t="s">
        <v>1881</v>
      </c>
      <c r="I773" s="11" t="s">
        <v>2789</v>
      </c>
      <c r="J773" s="11"/>
      <c r="K773" s="11"/>
      <c r="L773" s="11"/>
      <c r="M773" s="13" t="s">
        <v>2176</v>
      </c>
      <c r="N773" s="12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3" t="s">
        <v>2766</v>
      </c>
      <c r="AB773" s="13">
        <v>158.69999999999999</v>
      </c>
      <c r="AC773" s="13" t="s">
        <v>2327</v>
      </c>
      <c r="AD773" s="13" t="s">
        <v>810</v>
      </c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</row>
    <row r="774" spans="1:40" ht="20.100000000000001" customHeight="1">
      <c r="A774" s="11">
        <v>773</v>
      </c>
      <c r="B774" s="12" t="s">
        <v>38</v>
      </c>
      <c r="C774" s="12" t="s">
        <v>38</v>
      </c>
      <c r="D774" s="13" t="s">
        <v>2312</v>
      </c>
      <c r="E774" s="11"/>
      <c r="F774" s="12"/>
      <c r="G774" s="13" t="str">
        <f>"9781119062356"</f>
        <v>9781119062356</v>
      </c>
      <c r="H774" s="13" t="s">
        <v>1882</v>
      </c>
      <c r="I774" s="11" t="s">
        <v>2780</v>
      </c>
      <c r="J774" s="11"/>
      <c r="K774" s="11"/>
      <c r="L774" s="11"/>
      <c r="M774" s="13" t="s">
        <v>2176</v>
      </c>
      <c r="N774" s="12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3" t="s">
        <v>2766</v>
      </c>
      <c r="AB774" s="13"/>
      <c r="AC774" s="13" t="s">
        <v>2317</v>
      </c>
      <c r="AD774" s="13" t="s">
        <v>811</v>
      </c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</row>
    <row r="775" spans="1:40" ht="20.100000000000001" customHeight="1">
      <c r="A775" s="11">
        <v>774</v>
      </c>
      <c r="B775" s="12" t="s">
        <v>38</v>
      </c>
      <c r="C775" s="12" t="s">
        <v>38</v>
      </c>
      <c r="D775" s="13" t="s">
        <v>2312</v>
      </c>
      <c r="E775" s="11"/>
      <c r="F775" s="12"/>
      <c r="G775" s="13" t="str">
        <f>"9781119071884"</f>
        <v>9781119071884</v>
      </c>
      <c r="H775" s="13" t="s">
        <v>1883</v>
      </c>
      <c r="I775" s="11" t="s">
        <v>2789</v>
      </c>
      <c r="J775" s="11"/>
      <c r="K775" s="11"/>
      <c r="L775" s="11"/>
      <c r="M775" s="13" t="s">
        <v>2176</v>
      </c>
      <c r="N775" s="12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3" t="s">
        <v>2766</v>
      </c>
      <c r="AB775" s="13">
        <v>973.82092</v>
      </c>
      <c r="AC775" s="13" t="s">
        <v>2317</v>
      </c>
      <c r="AD775" s="13" t="s">
        <v>812</v>
      </c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</row>
    <row r="776" spans="1:40" ht="20.100000000000001" customHeight="1">
      <c r="A776" s="11">
        <v>775</v>
      </c>
      <c r="B776" s="12" t="s">
        <v>38</v>
      </c>
      <c r="C776" s="12" t="s">
        <v>38</v>
      </c>
      <c r="D776" s="13" t="s">
        <v>2312</v>
      </c>
      <c r="E776" s="11"/>
      <c r="F776" s="12"/>
      <c r="G776" s="13" t="str">
        <f>"9781444340464"</f>
        <v>9781444340464</v>
      </c>
      <c r="H776" s="13" t="s">
        <v>1884</v>
      </c>
      <c r="I776" s="11" t="s">
        <v>2784</v>
      </c>
      <c r="J776" s="11"/>
      <c r="K776" s="11"/>
      <c r="L776" s="11"/>
      <c r="M776" s="13" t="s">
        <v>2176</v>
      </c>
      <c r="N776" s="12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3" t="s">
        <v>2766</v>
      </c>
      <c r="AB776" s="13"/>
      <c r="AC776" s="13" t="s">
        <v>2318</v>
      </c>
      <c r="AD776" s="13" t="s">
        <v>813</v>
      </c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</row>
    <row r="777" spans="1:40" ht="20.100000000000001" customHeight="1">
      <c r="A777" s="11">
        <v>776</v>
      </c>
      <c r="B777" s="12" t="s">
        <v>38</v>
      </c>
      <c r="C777" s="12" t="s">
        <v>38</v>
      </c>
      <c r="D777" s="13" t="s">
        <v>2312</v>
      </c>
      <c r="E777" s="11"/>
      <c r="F777" s="12"/>
      <c r="G777" s="13" t="str">
        <f>"9781444340587"</f>
        <v>9781444340587</v>
      </c>
      <c r="H777" s="13" t="s">
        <v>1885</v>
      </c>
      <c r="I777" s="11" t="s">
        <v>2784</v>
      </c>
      <c r="J777" s="11"/>
      <c r="K777" s="11"/>
      <c r="L777" s="11"/>
      <c r="M777" s="13" t="s">
        <v>2176</v>
      </c>
      <c r="N777" s="12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3" t="s">
        <v>2766</v>
      </c>
      <c r="AB777" s="13">
        <v>972</v>
      </c>
      <c r="AC777" s="13" t="s">
        <v>2317</v>
      </c>
      <c r="AD777" s="13" t="s">
        <v>814</v>
      </c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</row>
    <row r="778" spans="1:40" ht="20.100000000000001" customHeight="1">
      <c r="A778" s="11">
        <v>777</v>
      </c>
      <c r="B778" s="12" t="s">
        <v>38</v>
      </c>
      <c r="C778" s="12" t="s">
        <v>38</v>
      </c>
      <c r="D778" s="13" t="s">
        <v>2312</v>
      </c>
      <c r="E778" s="11"/>
      <c r="F778" s="12"/>
      <c r="G778" s="13" t="str">
        <f>"9781444340938"</f>
        <v>9781444340938</v>
      </c>
      <c r="H778" s="13" t="s">
        <v>1886</v>
      </c>
      <c r="I778" s="11" t="s">
        <v>2784</v>
      </c>
      <c r="J778" s="11"/>
      <c r="K778" s="11"/>
      <c r="L778" s="11"/>
      <c r="M778" s="13" t="s">
        <v>2176</v>
      </c>
      <c r="N778" s="12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3" t="s">
        <v>2766</v>
      </c>
      <c r="AB778" s="13" t="s">
        <v>2721</v>
      </c>
      <c r="AC778" s="13" t="s">
        <v>2317</v>
      </c>
      <c r="AD778" s="13" t="s">
        <v>815</v>
      </c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</row>
    <row r="779" spans="1:40" ht="20.100000000000001" customHeight="1">
      <c r="A779" s="11">
        <v>778</v>
      </c>
      <c r="B779" s="12" t="s">
        <v>38</v>
      </c>
      <c r="C779" s="12" t="s">
        <v>38</v>
      </c>
      <c r="D779" s="13" t="s">
        <v>2312</v>
      </c>
      <c r="E779" s="11"/>
      <c r="F779" s="12"/>
      <c r="G779" s="13" t="str">
        <f>"9781444342130"</f>
        <v>9781444342130</v>
      </c>
      <c r="H779" s="13" t="s">
        <v>1887</v>
      </c>
      <c r="I779" s="11" t="s">
        <v>2784</v>
      </c>
      <c r="J779" s="11"/>
      <c r="K779" s="11"/>
      <c r="L779" s="11"/>
      <c r="M779" s="13" t="s">
        <v>2176</v>
      </c>
      <c r="N779" s="12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3" t="s">
        <v>2766</v>
      </c>
      <c r="AB779" s="13" t="s">
        <v>2722</v>
      </c>
      <c r="AC779" s="13" t="s">
        <v>2317</v>
      </c>
      <c r="AD779" s="13" t="s">
        <v>816</v>
      </c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</row>
    <row r="780" spans="1:40" ht="20.100000000000001" customHeight="1">
      <c r="A780" s="11">
        <v>779</v>
      </c>
      <c r="B780" s="12" t="s">
        <v>38</v>
      </c>
      <c r="C780" s="12" t="s">
        <v>38</v>
      </c>
      <c r="D780" s="13" t="s">
        <v>2312</v>
      </c>
      <c r="E780" s="11"/>
      <c r="F780" s="12"/>
      <c r="G780" s="13" t="str">
        <f>"9781444342949"</f>
        <v>9781444342949</v>
      </c>
      <c r="H780" s="13" t="s">
        <v>1888</v>
      </c>
      <c r="I780" s="11" t="s">
        <v>2778</v>
      </c>
      <c r="J780" s="11"/>
      <c r="K780" s="11"/>
      <c r="L780" s="11"/>
      <c r="M780" s="13" t="s">
        <v>2176</v>
      </c>
      <c r="N780" s="12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3" t="s">
        <v>2766</v>
      </c>
      <c r="AB780" s="13" t="s">
        <v>2723</v>
      </c>
      <c r="AC780" s="13" t="s">
        <v>2313</v>
      </c>
      <c r="AD780" s="13" t="s">
        <v>817</v>
      </c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</row>
    <row r="781" spans="1:40" ht="20.100000000000001" customHeight="1">
      <c r="A781" s="11">
        <v>780</v>
      </c>
      <c r="B781" s="12" t="s">
        <v>38</v>
      </c>
      <c r="C781" s="12" t="s">
        <v>38</v>
      </c>
      <c r="D781" s="13" t="s">
        <v>2312</v>
      </c>
      <c r="E781" s="11"/>
      <c r="F781" s="12"/>
      <c r="G781" s="13" t="str">
        <f>"9781444343786"</f>
        <v>9781444343786</v>
      </c>
      <c r="H781" s="13" t="s">
        <v>1889</v>
      </c>
      <c r="I781" s="11" t="s">
        <v>2784</v>
      </c>
      <c r="J781" s="11"/>
      <c r="K781" s="11"/>
      <c r="L781" s="11"/>
      <c r="M781" s="13" t="s">
        <v>2176</v>
      </c>
      <c r="N781" s="12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3" t="s">
        <v>2766</v>
      </c>
      <c r="AB781" s="13">
        <v>810.9</v>
      </c>
      <c r="AC781" s="13" t="s">
        <v>2313</v>
      </c>
      <c r="AD781" s="13" t="s">
        <v>818</v>
      </c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</row>
    <row r="782" spans="1:40" ht="20.100000000000001" customHeight="1">
      <c r="A782" s="11">
        <v>781</v>
      </c>
      <c r="B782" s="12" t="s">
        <v>38</v>
      </c>
      <c r="C782" s="12" t="s">
        <v>38</v>
      </c>
      <c r="D782" s="13" t="s">
        <v>2312</v>
      </c>
      <c r="E782" s="11"/>
      <c r="F782" s="12"/>
      <c r="G782" s="13" t="str">
        <f>"9781444344295"</f>
        <v>9781444344295</v>
      </c>
      <c r="H782" s="13" t="s">
        <v>1890</v>
      </c>
      <c r="I782" s="11" t="s">
        <v>2784</v>
      </c>
      <c r="J782" s="11"/>
      <c r="K782" s="11"/>
      <c r="L782" s="11"/>
      <c r="M782" s="13" t="s">
        <v>2176</v>
      </c>
      <c r="N782" s="12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3" t="s">
        <v>2766</v>
      </c>
      <c r="AB782" s="13">
        <v>809.1</v>
      </c>
      <c r="AC782" s="13" t="s">
        <v>2313</v>
      </c>
      <c r="AD782" s="13" t="s">
        <v>819</v>
      </c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</row>
    <row r="783" spans="1:40" ht="20.100000000000001" customHeight="1">
      <c r="A783" s="11">
        <v>782</v>
      </c>
      <c r="B783" s="12" t="s">
        <v>38</v>
      </c>
      <c r="C783" s="12" t="s">
        <v>38</v>
      </c>
      <c r="D783" s="13" t="s">
        <v>2312</v>
      </c>
      <c r="E783" s="11"/>
      <c r="F783" s="12"/>
      <c r="G783" s="13" t="str">
        <f>"9781444345407"</f>
        <v>9781444345407</v>
      </c>
      <c r="H783" s="13" t="s">
        <v>1891</v>
      </c>
      <c r="I783" s="11" t="s">
        <v>2780</v>
      </c>
      <c r="J783" s="11"/>
      <c r="K783" s="11"/>
      <c r="L783" s="11"/>
      <c r="M783" s="13" t="s">
        <v>2176</v>
      </c>
      <c r="N783" s="12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3" t="s">
        <v>2766</v>
      </c>
      <c r="AB783" s="13">
        <v>174.2</v>
      </c>
      <c r="AC783" s="13" t="s">
        <v>2472</v>
      </c>
      <c r="AD783" s="13" t="s">
        <v>820</v>
      </c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</row>
    <row r="784" spans="1:40" ht="20.100000000000001" customHeight="1">
      <c r="A784" s="11">
        <v>783</v>
      </c>
      <c r="B784" s="12" t="s">
        <v>38</v>
      </c>
      <c r="C784" s="12" t="s">
        <v>38</v>
      </c>
      <c r="D784" s="13" t="s">
        <v>2312</v>
      </c>
      <c r="E784" s="11"/>
      <c r="F784" s="12"/>
      <c r="G784" s="13" t="str">
        <f>"9781444354904"</f>
        <v>9781444354904</v>
      </c>
      <c r="H784" s="13" t="s">
        <v>1892</v>
      </c>
      <c r="I784" s="11" t="s">
        <v>2780</v>
      </c>
      <c r="J784" s="11"/>
      <c r="K784" s="11"/>
      <c r="L784" s="11"/>
      <c r="M784" s="13" t="s">
        <v>2176</v>
      </c>
      <c r="N784" s="12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3" t="s">
        <v>2766</v>
      </c>
      <c r="AB784" s="13">
        <v>823.7</v>
      </c>
      <c r="AC784" s="13" t="s">
        <v>2313</v>
      </c>
      <c r="AD784" s="13" t="s">
        <v>821</v>
      </c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</row>
    <row r="785" spans="1:40" ht="20.100000000000001" customHeight="1">
      <c r="A785" s="11">
        <v>784</v>
      </c>
      <c r="B785" s="12" t="s">
        <v>38</v>
      </c>
      <c r="C785" s="12" t="s">
        <v>38</v>
      </c>
      <c r="D785" s="13" t="s">
        <v>2312</v>
      </c>
      <c r="E785" s="11"/>
      <c r="F785" s="12"/>
      <c r="G785" s="13" t="str">
        <f>"9781444362169"</f>
        <v>9781444362169</v>
      </c>
      <c r="H785" s="13" t="s">
        <v>1893</v>
      </c>
      <c r="I785" s="11" t="s">
        <v>2785</v>
      </c>
      <c r="J785" s="11"/>
      <c r="K785" s="11"/>
      <c r="L785" s="11"/>
      <c r="M785" s="13" t="s">
        <v>2176</v>
      </c>
      <c r="N785" s="12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3" t="s">
        <v>2766</v>
      </c>
      <c r="AB785" s="13">
        <v>301.09399999999999</v>
      </c>
      <c r="AC785" s="13" t="s">
        <v>2318</v>
      </c>
      <c r="AD785" s="13" t="s">
        <v>822</v>
      </c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</row>
    <row r="786" spans="1:40" ht="20.100000000000001" customHeight="1">
      <c r="A786" s="11">
        <v>785</v>
      </c>
      <c r="B786" s="12" t="s">
        <v>38</v>
      </c>
      <c r="C786" s="12" t="s">
        <v>38</v>
      </c>
      <c r="D786" s="13" t="s">
        <v>2312</v>
      </c>
      <c r="E786" s="11"/>
      <c r="F786" s="12"/>
      <c r="G786" s="13" t="str">
        <f>"9781444390759"</f>
        <v>9781444390759</v>
      </c>
      <c r="H786" s="13" t="s">
        <v>1894</v>
      </c>
      <c r="I786" s="11" t="s">
        <v>2784</v>
      </c>
      <c r="J786" s="11"/>
      <c r="K786" s="11"/>
      <c r="L786" s="11"/>
      <c r="M786" s="13" t="s">
        <v>2176</v>
      </c>
      <c r="N786" s="12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3" t="s">
        <v>2766</v>
      </c>
      <c r="AB786" s="13">
        <v>306.85093799999999</v>
      </c>
      <c r="AC786" s="13" t="s">
        <v>2318</v>
      </c>
      <c r="AD786" s="13" t="s">
        <v>823</v>
      </c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</row>
    <row r="787" spans="1:40" ht="20.100000000000001" customHeight="1">
      <c r="A787" s="11">
        <v>786</v>
      </c>
      <c r="B787" s="12" t="s">
        <v>38</v>
      </c>
      <c r="C787" s="12" t="s">
        <v>38</v>
      </c>
      <c r="D787" s="13" t="s">
        <v>2312</v>
      </c>
      <c r="E787" s="11"/>
      <c r="F787" s="12"/>
      <c r="G787" s="13" t="str">
        <f>"9781444392463"</f>
        <v>9781444392463</v>
      </c>
      <c r="H787" s="13" t="s">
        <v>1895</v>
      </c>
      <c r="I787" s="11" t="s">
        <v>2784</v>
      </c>
      <c r="J787" s="11"/>
      <c r="K787" s="11"/>
      <c r="L787" s="11"/>
      <c r="M787" s="13" t="s">
        <v>2176</v>
      </c>
      <c r="N787" s="12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3" t="s">
        <v>2766</v>
      </c>
      <c r="AB787" s="13">
        <v>810.9</v>
      </c>
      <c r="AC787" s="13" t="s">
        <v>2313</v>
      </c>
      <c r="AD787" s="13" t="s">
        <v>824</v>
      </c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</row>
    <row r="788" spans="1:40" ht="20.100000000000001" customHeight="1">
      <c r="A788" s="11">
        <v>787</v>
      </c>
      <c r="B788" s="12" t="s">
        <v>38</v>
      </c>
      <c r="C788" s="12" t="s">
        <v>38</v>
      </c>
      <c r="D788" s="13" t="s">
        <v>2312</v>
      </c>
      <c r="E788" s="11"/>
      <c r="F788" s="12"/>
      <c r="G788" s="13" t="str">
        <f>"9781444395297"</f>
        <v>9781444395297</v>
      </c>
      <c r="H788" s="13" t="s">
        <v>1896</v>
      </c>
      <c r="I788" s="11" t="s">
        <v>2784</v>
      </c>
      <c r="J788" s="11"/>
      <c r="K788" s="11"/>
      <c r="L788" s="11"/>
      <c r="M788" s="13" t="s">
        <v>2176</v>
      </c>
      <c r="N788" s="12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3" t="s">
        <v>2766</v>
      </c>
      <c r="AB788" s="13" t="s">
        <v>2724</v>
      </c>
      <c r="AC788" s="13" t="s">
        <v>2318</v>
      </c>
      <c r="AD788" s="13" t="s">
        <v>825</v>
      </c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</row>
    <row r="789" spans="1:40" ht="20.100000000000001" customHeight="1">
      <c r="A789" s="11">
        <v>788</v>
      </c>
      <c r="B789" s="12" t="s">
        <v>38</v>
      </c>
      <c r="C789" s="12" t="s">
        <v>38</v>
      </c>
      <c r="D789" s="13" t="s">
        <v>2312</v>
      </c>
      <c r="E789" s="11"/>
      <c r="F789" s="12"/>
      <c r="G789" s="13" t="str">
        <f>"9781444395921"</f>
        <v>9781444395921</v>
      </c>
      <c r="H789" s="13" t="s">
        <v>1897</v>
      </c>
      <c r="I789" s="11" t="s">
        <v>2784</v>
      </c>
      <c r="J789" s="11"/>
      <c r="K789" s="11"/>
      <c r="L789" s="11"/>
      <c r="M789" s="13" t="s">
        <v>2176</v>
      </c>
      <c r="N789" s="12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3" t="s">
        <v>2766</v>
      </c>
      <c r="AB789" s="13" t="s">
        <v>2725</v>
      </c>
      <c r="AC789" s="13" t="s">
        <v>2325</v>
      </c>
      <c r="AD789" s="13" t="s">
        <v>826</v>
      </c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</row>
    <row r="790" spans="1:40" ht="20.100000000000001" customHeight="1">
      <c r="A790" s="11">
        <v>789</v>
      </c>
      <c r="B790" s="12" t="s">
        <v>38</v>
      </c>
      <c r="C790" s="12" t="s">
        <v>38</v>
      </c>
      <c r="D790" s="13" t="s">
        <v>2312</v>
      </c>
      <c r="E790" s="11"/>
      <c r="F790" s="12"/>
      <c r="G790" s="13" t="str">
        <f>"9781444396706"</f>
        <v>9781444396706</v>
      </c>
      <c r="H790" s="13" t="s">
        <v>1898</v>
      </c>
      <c r="I790" s="11" t="s">
        <v>2784</v>
      </c>
      <c r="J790" s="11"/>
      <c r="K790" s="11"/>
      <c r="L790" s="11"/>
      <c r="M790" s="13" t="s">
        <v>2176</v>
      </c>
      <c r="N790" s="12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3" t="s">
        <v>2766</v>
      </c>
      <c r="AB790" s="13">
        <v>306.43</v>
      </c>
      <c r="AC790" s="13" t="s">
        <v>2455</v>
      </c>
      <c r="AD790" s="13" t="s">
        <v>827</v>
      </c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</row>
    <row r="791" spans="1:40" ht="20.100000000000001" customHeight="1">
      <c r="A791" s="11">
        <v>790</v>
      </c>
      <c r="B791" s="12" t="s">
        <v>38</v>
      </c>
      <c r="C791" s="12" t="s">
        <v>38</v>
      </c>
      <c r="D791" s="13" t="s">
        <v>2312</v>
      </c>
      <c r="E791" s="11"/>
      <c r="F791" s="12"/>
      <c r="G791" s="13" t="str">
        <f>"9781444396935"</f>
        <v>9781444396935</v>
      </c>
      <c r="H791" s="13" t="s">
        <v>1899</v>
      </c>
      <c r="I791" s="11" t="s">
        <v>2784</v>
      </c>
      <c r="J791" s="11"/>
      <c r="K791" s="11"/>
      <c r="L791" s="11"/>
      <c r="M791" s="13" t="s">
        <v>2176</v>
      </c>
      <c r="N791" s="12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3" t="s">
        <v>2766</v>
      </c>
      <c r="AB791" s="13">
        <v>398.20938000000001</v>
      </c>
      <c r="AC791" s="13" t="s">
        <v>2453</v>
      </c>
      <c r="AD791" s="13" t="s">
        <v>828</v>
      </c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</row>
    <row r="792" spans="1:40" ht="20.100000000000001" customHeight="1">
      <c r="A792" s="11">
        <v>791</v>
      </c>
      <c r="B792" s="12" t="s">
        <v>38</v>
      </c>
      <c r="C792" s="12" t="s">
        <v>38</v>
      </c>
      <c r="D792" s="13" t="s">
        <v>2312</v>
      </c>
      <c r="E792" s="11"/>
      <c r="F792" s="12"/>
      <c r="G792" s="13" t="str">
        <f>"9781444397543"</f>
        <v>9781444397543</v>
      </c>
      <c r="H792" s="13" t="s">
        <v>1900</v>
      </c>
      <c r="I792" s="11" t="s">
        <v>2784</v>
      </c>
      <c r="J792" s="11"/>
      <c r="K792" s="11"/>
      <c r="L792" s="11"/>
      <c r="M792" s="13" t="s">
        <v>2176</v>
      </c>
      <c r="N792" s="12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3" t="s">
        <v>2766</v>
      </c>
      <c r="AB792" s="13" t="s">
        <v>2726</v>
      </c>
      <c r="AC792" s="13" t="s">
        <v>2325</v>
      </c>
      <c r="AD792" s="13" t="s">
        <v>829</v>
      </c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</row>
    <row r="793" spans="1:40" ht="20.100000000000001" customHeight="1">
      <c r="A793" s="11">
        <v>792</v>
      </c>
      <c r="B793" s="12" t="s">
        <v>38</v>
      </c>
      <c r="C793" s="12" t="s">
        <v>38</v>
      </c>
      <c r="D793" s="13" t="s">
        <v>2312</v>
      </c>
      <c r="E793" s="11"/>
      <c r="F793" s="12"/>
      <c r="G793" s="13" t="str">
        <f>"9781444345728"</f>
        <v>9781444345728</v>
      </c>
      <c r="H793" s="13" t="s">
        <v>1901</v>
      </c>
      <c r="I793" s="11" t="s">
        <v>2784</v>
      </c>
      <c r="J793" s="11"/>
      <c r="K793" s="11"/>
      <c r="L793" s="11"/>
      <c r="M793" s="13" t="s">
        <v>2176</v>
      </c>
      <c r="N793" s="12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3" t="s">
        <v>2766</v>
      </c>
      <c r="AB793" s="13">
        <v>230.01</v>
      </c>
      <c r="AC793" s="13" t="s">
        <v>2323</v>
      </c>
      <c r="AD793" s="13" t="s">
        <v>830</v>
      </c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</row>
    <row r="794" spans="1:40" ht="20.100000000000001" customHeight="1">
      <c r="A794" s="11">
        <v>793</v>
      </c>
      <c r="B794" s="12" t="s">
        <v>38</v>
      </c>
      <c r="C794" s="12" t="s">
        <v>38</v>
      </c>
      <c r="D794" s="13" t="s">
        <v>2312</v>
      </c>
      <c r="E794" s="11"/>
      <c r="F794" s="12"/>
      <c r="G794" s="13" t="str">
        <f>"9781444361971"</f>
        <v>9781444361971</v>
      </c>
      <c r="H794" s="13" t="s">
        <v>1902</v>
      </c>
      <c r="I794" s="11" t="s">
        <v>2785</v>
      </c>
      <c r="J794" s="11"/>
      <c r="K794" s="11"/>
      <c r="L794" s="11"/>
      <c r="M794" s="13" t="s">
        <v>2176</v>
      </c>
      <c r="N794" s="12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3" t="s">
        <v>2766</v>
      </c>
      <c r="AB794" s="13">
        <v>299.51</v>
      </c>
      <c r="AC794" s="13" t="s">
        <v>2323</v>
      </c>
      <c r="AD794" s="13" t="s">
        <v>831</v>
      </c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</row>
    <row r="795" spans="1:40" ht="20.100000000000001" customHeight="1">
      <c r="A795" s="11">
        <v>794</v>
      </c>
      <c r="B795" s="12" t="s">
        <v>38</v>
      </c>
      <c r="C795" s="12" t="s">
        <v>38</v>
      </c>
      <c r="D795" s="13" t="s">
        <v>2312</v>
      </c>
      <c r="E795" s="11"/>
      <c r="F795" s="12"/>
      <c r="G795" s="13" t="str">
        <f>"9781444390087"</f>
        <v>9781444390087</v>
      </c>
      <c r="H795" s="13" t="s">
        <v>1903</v>
      </c>
      <c r="I795" s="11" t="s">
        <v>2784</v>
      </c>
      <c r="J795" s="11"/>
      <c r="K795" s="11"/>
      <c r="L795" s="11"/>
      <c r="M795" s="13" t="s">
        <v>2176</v>
      </c>
      <c r="N795" s="12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3" t="s">
        <v>2766</v>
      </c>
      <c r="AB795" s="13"/>
      <c r="AC795" s="13" t="s">
        <v>2313</v>
      </c>
      <c r="AD795" s="13" t="s">
        <v>832</v>
      </c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</row>
    <row r="796" spans="1:40" ht="20.100000000000001" customHeight="1">
      <c r="A796" s="11">
        <v>795</v>
      </c>
      <c r="B796" s="12" t="s">
        <v>38</v>
      </c>
      <c r="C796" s="12" t="s">
        <v>38</v>
      </c>
      <c r="D796" s="13" t="s">
        <v>2312</v>
      </c>
      <c r="E796" s="11"/>
      <c r="F796" s="12"/>
      <c r="G796" s="13" t="str">
        <f>"9781444390728"</f>
        <v>9781444390728</v>
      </c>
      <c r="H796" s="13" t="s">
        <v>1904</v>
      </c>
      <c r="I796" s="11" t="s">
        <v>2784</v>
      </c>
      <c r="J796" s="11"/>
      <c r="K796" s="11"/>
      <c r="L796" s="11"/>
      <c r="M796" s="13" t="s">
        <v>2176</v>
      </c>
      <c r="N796" s="12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3" t="s">
        <v>2766</v>
      </c>
      <c r="AB796" s="13">
        <v>940.20299999999997</v>
      </c>
      <c r="AC796" s="13" t="s">
        <v>2317</v>
      </c>
      <c r="AD796" s="13" t="s">
        <v>833</v>
      </c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</row>
    <row r="797" spans="1:40" ht="20.100000000000001" customHeight="1">
      <c r="A797" s="11">
        <v>796</v>
      </c>
      <c r="B797" s="12" t="s">
        <v>38</v>
      </c>
      <c r="C797" s="12" t="s">
        <v>38</v>
      </c>
      <c r="D797" s="13" t="s">
        <v>2312</v>
      </c>
      <c r="E797" s="11"/>
      <c r="F797" s="12"/>
      <c r="G797" s="13" t="str">
        <f>"9780191008856"</f>
        <v>9780191008856</v>
      </c>
      <c r="H797" s="13" t="s">
        <v>1905</v>
      </c>
      <c r="I797" s="11" t="s">
        <v>2789</v>
      </c>
      <c r="J797" s="11"/>
      <c r="K797" s="11"/>
      <c r="L797" s="11"/>
      <c r="M797" s="13" t="s">
        <v>2188</v>
      </c>
      <c r="N797" s="12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3" t="s">
        <v>2766</v>
      </c>
      <c r="AB797" s="13" t="s">
        <v>2727</v>
      </c>
      <c r="AC797" s="13" t="s">
        <v>2333</v>
      </c>
      <c r="AD797" s="13" t="s">
        <v>834</v>
      </c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</row>
    <row r="798" spans="1:40" ht="20.100000000000001" customHeight="1">
      <c r="A798" s="11">
        <v>797</v>
      </c>
      <c r="B798" s="12" t="s">
        <v>38</v>
      </c>
      <c r="C798" s="12" t="s">
        <v>38</v>
      </c>
      <c r="D798" s="13" t="s">
        <v>2312</v>
      </c>
      <c r="E798" s="11"/>
      <c r="F798" s="12"/>
      <c r="G798" s="13" t="str">
        <f>"9789004284715"</f>
        <v>9789004284715</v>
      </c>
      <c r="H798" s="13" t="s">
        <v>1906</v>
      </c>
      <c r="I798" s="11" t="s">
        <v>2789</v>
      </c>
      <c r="J798" s="11"/>
      <c r="K798" s="11"/>
      <c r="L798" s="11"/>
      <c r="M798" s="13" t="s">
        <v>2184</v>
      </c>
      <c r="N798" s="12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3" t="s">
        <v>2766</v>
      </c>
      <c r="AB798" s="13">
        <v>913</v>
      </c>
      <c r="AC798" s="13" t="s">
        <v>2382</v>
      </c>
      <c r="AD798" s="13" t="s">
        <v>835</v>
      </c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</row>
    <row r="799" spans="1:40" ht="20.100000000000001" customHeight="1">
      <c r="A799" s="11">
        <v>798</v>
      </c>
      <c r="B799" s="12" t="s">
        <v>38</v>
      </c>
      <c r="C799" s="12" t="s">
        <v>38</v>
      </c>
      <c r="D799" s="13" t="s">
        <v>2312</v>
      </c>
      <c r="E799" s="11"/>
      <c r="F799" s="12"/>
      <c r="G799" s="13" t="str">
        <f>"9781118326497"</f>
        <v>9781118326497</v>
      </c>
      <c r="H799" s="13" t="s">
        <v>1907</v>
      </c>
      <c r="I799" s="11" t="s">
        <v>2785</v>
      </c>
      <c r="J799" s="11"/>
      <c r="K799" s="11"/>
      <c r="L799" s="11"/>
      <c r="M799" s="13" t="s">
        <v>2176</v>
      </c>
      <c r="N799" s="12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3" t="s">
        <v>2766</v>
      </c>
      <c r="AB799" s="13">
        <v>158.30000000000001</v>
      </c>
      <c r="AC799" s="13" t="s">
        <v>2346</v>
      </c>
      <c r="AD799" s="13" t="s">
        <v>836</v>
      </c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</row>
    <row r="800" spans="1:40" ht="20.100000000000001" customHeight="1">
      <c r="A800" s="11">
        <v>799</v>
      </c>
      <c r="B800" s="12" t="s">
        <v>38</v>
      </c>
      <c r="C800" s="12" t="s">
        <v>38</v>
      </c>
      <c r="D800" s="13" t="s">
        <v>2312</v>
      </c>
      <c r="E800" s="11"/>
      <c r="F800" s="12"/>
      <c r="G800" s="13" t="str">
        <f>"9780814437377"</f>
        <v>9780814437377</v>
      </c>
      <c r="H800" s="13" t="s">
        <v>1908</v>
      </c>
      <c r="I800" s="11" t="s">
        <v>2790</v>
      </c>
      <c r="J800" s="11"/>
      <c r="K800" s="11"/>
      <c r="L800" s="11"/>
      <c r="M800" s="13" t="s">
        <v>2244</v>
      </c>
      <c r="N800" s="12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3" t="s">
        <v>2766</v>
      </c>
      <c r="AB800" s="13">
        <v>658.404</v>
      </c>
      <c r="AC800" s="13" t="s">
        <v>2314</v>
      </c>
      <c r="AD800" s="13" t="s">
        <v>837</v>
      </c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</row>
    <row r="801" spans="1:40" ht="20.100000000000001" customHeight="1">
      <c r="A801" s="11">
        <v>800</v>
      </c>
      <c r="B801" s="12" t="s">
        <v>38</v>
      </c>
      <c r="C801" s="12" t="s">
        <v>38</v>
      </c>
      <c r="D801" s="13" t="s">
        <v>2312</v>
      </c>
      <c r="E801" s="11"/>
      <c r="F801" s="12"/>
      <c r="G801" s="13" t="str">
        <f>"9780511202735"</f>
        <v>9780511202735</v>
      </c>
      <c r="H801" s="13" t="s">
        <v>1909</v>
      </c>
      <c r="I801" s="11" t="s">
        <v>2776</v>
      </c>
      <c r="J801" s="11"/>
      <c r="K801" s="11"/>
      <c r="L801" s="11"/>
      <c r="M801" s="13" t="s">
        <v>2177</v>
      </c>
      <c r="N801" s="12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3" t="s">
        <v>2766</v>
      </c>
      <c r="AB801" s="13">
        <v>780.92</v>
      </c>
      <c r="AC801" s="13" t="s">
        <v>2315</v>
      </c>
      <c r="AD801" s="13" t="s">
        <v>838</v>
      </c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</row>
    <row r="802" spans="1:40" ht="20.100000000000001" customHeight="1">
      <c r="A802" s="11">
        <v>801</v>
      </c>
      <c r="B802" s="12" t="s">
        <v>38</v>
      </c>
      <c r="C802" s="12" t="s">
        <v>38</v>
      </c>
      <c r="D802" s="13" t="s">
        <v>2312</v>
      </c>
      <c r="E802" s="11"/>
      <c r="F802" s="12"/>
      <c r="G802" s="13" t="str">
        <f>"9780511203350"</f>
        <v>9780511203350</v>
      </c>
      <c r="H802" s="13" t="s">
        <v>1910</v>
      </c>
      <c r="I802" s="11" t="s">
        <v>2776</v>
      </c>
      <c r="J802" s="11"/>
      <c r="K802" s="11"/>
      <c r="L802" s="11"/>
      <c r="M802" s="13" t="s">
        <v>2177</v>
      </c>
      <c r="N802" s="12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3" t="s">
        <v>2766</v>
      </c>
      <c r="AB802" s="13" t="s">
        <v>2504</v>
      </c>
      <c r="AC802" s="13" t="s">
        <v>2315</v>
      </c>
      <c r="AD802" s="13" t="s">
        <v>839</v>
      </c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</row>
    <row r="803" spans="1:40" ht="20.100000000000001" customHeight="1">
      <c r="A803" s="11">
        <v>802</v>
      </c>
      <c r="B803" s="12" t="s">
        <v>38</v>
      </c>
      <c r="C803" s="12" t="s">
        <v>38</v>
      </c>
      <c r="D803" s="13" t="s">
        <v>2312</v>
      </c>
      <c r="E803" s="11"/>
      <c r="F803" s="12"/>
      <c r="G803" s="13" t="str">
        <f>"9780511206252"</f>
        <v>9780511206252</v>
      </c>
      <c r="H803" s="13" t="s">
        <v>1911</v>
      </c>
      <c r="I803" s="11" t="s">
        <v>2776</v>
      </c>
      <c r="J803" s="11"/>
      <c r="K803" s="11"/>
      <c r="L803" s="11"/>
      <c r="M803" s="13" t="s">
        <v>2177</v>
      </c>
      <c r="N803" s="12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3" t="s">
        <v>2766</v>
      </c>
      <c r="AB803" s="13" t="s">
        <v>2728</v>
      </c>
      <c r="AC803" s="13" t="s">
        <v>2315</v>
      </c>
      <c r="AD803" s="13" t="s">
        <v>840</v>
      </c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</row>
    <row r="804" spans="1:40" ht="20.100000000000001" customHeight="1">
      <c r="A804" s="11">
        <v>803</v>
      </c>
      <c r="B804" s="12" t="s">
        <v>38</v>
      </c>
      <c r="C804" s="12" t="s">
        <v>38</v>
      </c>
      <c r="D804" s="13" t="s">
        <v>2312</v>
      </c>
      <c r="E804" s="11"/>
      <c r="F804" s="12"/>
      <c r="G804" s="13" t="str">
        <f>"9780511263583"</f>
        <v>9780511263583</v>
      </c>
      <c r="H804" s="13" t="s">
        <v>1912</v>
      </c>
      <c r="I804" s="11" t="s">
        <v>2771</v>
      </c>
      <c r="J804" s="11"/>
      <c r="K804" s="11"/>
      <c r="L804" s="11"/>
      <c r="M804" s="13" t="s">
        <v>2177</v>
      </c>
      <c r="N804" s="12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3" t="s">
        <v>2766</v>
      </c>
      <c r="AB804" s="13">
        <v>782.10919999999999</v>
      </c>
      <c r="AC804" s="13" t="s">
        <v>2315</v>
      </c>
      <c r="AD804" s="13" t="s">
        <v>841</v>
      </c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</row>
    <row r="805" spans="1:40" ht="20.100000000000001" customHeight="1">
      <c r="A805" s="11">
        <v>804</v>
      </c>
      <c r="B805" s="12" t="s">
        <v>38</v>
      </c>
      <c r="C805" s="12" t="s">
        <v>38</v>
      </c>
      <c r="D805" s="13" t="s">
        <v>2312</v>
      </c>
      <c r="E805" s="11"/>
      <c r="F805" s="12"/>
      <c r="G805" s="13" t="str">
        <f>"9780470447482"</f>
        <v>9780470447482</v>
      </c>
      <c r="H805" s="13" t="s">
        <v>1179</v>
      </c>
      <c r="I805" s="11" t="s">
        <v>2778</v>
      </c>
      <c r="J805" s="11"/>
      <c r="K805" s="11"/>
      <c r="L805" s="11"/>
      <c r="M805" s="13" t="s">
        <v>2176</v>
      </c>
      <c r="N805" s="12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3" t="s">
        <v>2766</v>
      </c>
      <c r="AB805" s="13" t="s">
        <v>2522</v>
      </c>
      <c r="AC805" s="13" t="s">
        <v>2327</v>
      </c>
      <c r="AD805" s="13" t="s">
        <v>842</v>
      </c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</row>
    <row r="806" spans="1:40" ht="20.100000000000001" customHeight="1">
      <c r="A806" s="11">
        <v>805</v>
      </c>
      <c r="B806" s="12" t="s">
        <v>38</v>
      </c>
      <c r="C806" s="12" t="s">
        <v>38</v>
      </c>
      <c r="D806" s="13" t="s">
        <v>2312</v>
      </c>
      <c r="E806" s="11"/>
      <c r="F806" s="12"/>
      <c r="G806" s="13" t="str">
        <f>"9781476620008"</f>
        <v>9781476620008</v>
      </c>
      <c r="H806" s="13" t="s">
        <v>1913</v>
      </c>
      <c r="I806" s="11" t="s">
        <v>2789</v>
      </c>
      <c r="J806" s="11"/>
      <c r="K806" s="11"/>
      <c r="L806" s="11"/>
      <c r="M806" s="13" t="s">
        <v>2187</v>
      </c>
      <c r="N806" s="12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3" t="s">
        <v>2766</v>
      </c>
      <c r="AB806" s="13" t="s">
        <v>2729</v>
      </c>
      <c r="AC806" s="13" t="s">
        <v>2318</v>
      </c>
      <c r="AD806" s="13" t="s">
        <v>843</v>
      </c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</row>
    <row r="807" spans="1:40" ht="20.100000000000001" customHeight="1">
      <c r="A807" s="11">
        <v>806</v>
      </c>
      <c r="B807" s="12" t="s">
        <v>38</v>
      </c>
      <c r="C807" s="12" t="s">
        <v>38</v>
      </c>
      <c r="D807" s="13" t="s">
        <v>2312</v>
      </c>
      <c r="E807" s="11"/>
      <c r="F807" s="12"/>
      <c r="G807" s="13" t="str">
        <f>"9781476605289"</f>
        <v>9781476605289</v>
      </c>
      <c r="H807" s="13" t="s">
        <v>1914</v>
      </c>
      <c r="I807" s="11" t="s">
        <v>2780</v>
      </c>
      <c r="J807" s="11"/>
      <c r="K807" s="11"/>
      <c r="L807" s="11"/>
      <c r="M807" s="13" t="s">
        <v>2187</v>
      </c>
      <c r="N807" s="12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3" t="s">
        <v>2766</v>
      </c>
      <c r="AB807" s="13">
        <v>16.7914475</v>
      </c>
      <c r="AC807" s="13" t="s">
        <v>2473</v>
      </c>
      <c r="AD807" s="13" t="s">
        <v>844</v>
      </c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</row>
    <row r="808" spans="1:40" ht="20.100000000000001" customHeight="1">
      <c r="A808" s="11">
        <v>807</v>
      </c>
      <c r="B808" s="12" t="s">
        <v>38</v>
      </c>
      <c r="C808" s="12" t="s">
        <v>38</v>
      </c>
      <c r="D808" s="13" t="s">
        <v>2312</v>
      </c>
      <c r="E808" s="11"/>
      <c r="F808" s="12"/>
      <c r="G808" s="13" t="str">
        <f>"9781476609911"</f>
        <v>9781476609911</v>
      </c>
      <c r="H808" s="13" t="s">
        <v>1915</v>
      </c>
      <c r="I808" s="11" t="s">
        <v>2778</v>
      </c>
      <c r="J808" s="11"/>
      <c r="K808" s="11"/>
      <c r="L808" s="11"/>
      <c r="M808" s="13" t="s">
        <v>2187</v>
      </c>
      <c r="N808" s="12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3" t="s">
        <v>2766</v>
      </c>
      <c r="AB808" s="13" t="s">
        <v>2730</v>
      </c>
      <c r="AC808" s="13" t="s">
        <v>2474</v>
      </c>
      <c r="AD808" s="13" t="s">
        <v>845</v>
      </c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</row>
    <row r="809" spans="1:40" ht="20.100000000000001" customHeight="1">
      <c r="A809" s="11">
        <v>808</v>
      </c>
      <c r="B809" s="12" t="s">
        <v>38</v>
      </c>
      <c r="C809" s="12" t="s">
        <v>38</v>
      </c>
      <c r="D809" s="13" t="s">
        <v>2312</v>
      </c>
      <c r="E809" s="11"/>
      <c r="F809" s="12"/>
      <c r="G809" s="13" t="str">
        <f>"9781476613420"</f>
        <v>9781476613420</v>
      </c>
      <c r="H809" s="13" t="s">
        <v>1916</v>
      </c>
      <c r="I809" s="11" t="s">
        <v>2772</v>
      </c>
      <c r="J809" s="11"/>
      <c r="K809" s="11"/>
      <c r="L809" s="11"/>
      <c r="M809" s="13" t="s">
        <v>2187</v>
      </c>
      <c r="N809" s="12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3" t="s">
        <v>2766</v>
      </c>
      <c r="AB809" s="13" t="s">
        <v>2731</v>
      </c>
      <c r="AC809" s="13" t="s">
        <v>2315</v>
      </c>
      <c r="AD809" s="13" t="s">
        <v>846</v>
      </c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</row>
    <row r="810" spans="1:40" ht="20.100000000000001" customHeight="1">
      <c r="A810" s="11">
        <v>809</v>
      </c>
      <c r="B810" s="12" t="s">
        <v>38</v>
      </c>
      <c r="C810" s="12" t="s">
        <v>38</v>
      </c>
      <c r="D810" s="13" t="s">
        <v>2312</v>
      </c>
      <c r="E810" s="11"/>
      <c r="F810" s="12"/>
      <c r="G810" s="13" t="str">
        <f>"9781476600222"</f>
        <v>9781476600222</v>
      </c>
      <c r="H810" s="13" t="s">
        <v>1917</v>
      </c>
      <c r="I810" s="11" t="s">
        <v>2772</v>
      </c>
      <c r="J810" s="11"/>
      <c r="K810" s="11"/>
      <c r="L810" s="11"/>
      <c r="M810" s="13" t="s">
        <v>2187</v>
      </c>
      <c r="N810" s="12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3" t="s">
        <v>2766</v>
      </c>
      <c r="AB810" s="13" t="s">
        <v>2732</v>
      </c>
      <c r="AC810" s="13" t="s">
        <v>2313</v>
      </c>
      <c r="AD810" s="13" t="s">
        <v>847</v>
      </c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</row>
    <row r="811" spans="1:40" ht="20.100000000000001" customHeight="1">
      <c r="A811" s="11">
        <v>810</v>
      </c>
      <c r="B811" s="12" t="s">
        <v>38</v>
      </c>
      <c r="C811" s="12" t="s">
        <v>38</v>
      </c>
      <c r="D811" s="13" t="s">
        <v>2312</v>
      </c>
      <c r="E811" s="11"/>
      <c r="F811" s="12"/>
      <c r="G811" s="13" t="str">
        <f>"9781476621548"</f>
        <v>9781476621548</v>
      </c>
      <c r="H811" s="13" t="s">
        <v>1918</v>
      </c>
      <c r="I811" s="11" t="s">
        <v>2778</v>
      </c>
      <c r="J811" s="11"/>
      <c r="K811" s="11"/>
      <c r="L811" s="11"/>
      <c r="M811" s="13" t="s">
        <v>2187</v>
      </c>
      <c r="N811" s="12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3" t="s">
        <v>2766</v>
      </c>
      <c r="AB811" s="13"/>
      <c r="AC811" s="13" t="s">
        <v>2317</v>
      </c>
      <c r="AD811" s="13" t="s">
        <v>848</v>
      </c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</row>
    <row r="812" spans="1:40" ht="20.100000000000001" customHeight="1">
      <c r="A812" s="11">
        <v>811</v>
      </c>
      <c r="B812" s="12" t="s">
        <v>38</v>
      </c>
      <c r="C812" s="12" t="s">
        <v>38</v>
      </c>
      <c r="D812" s="13" t="s">
        <v>2312</v>
      </c>
      <c r="E812" s="11"/>
      <c r="F812" s="12"/>
      <c r="G812" s="13" t="str">
        <f>"9781476622705"</f>
        <v>9781476622705</v>
      </c>
      <c r="H812" s="13" t="s">
        <v>1919</v>
      </c>
      <c r="I812" s="11" t="s">
        <v>2789</v>
      </c>
      <c r="J812" s="11"/>
      <c r="K812" s="11"/>
      <c r="L812" s="11"/>
      <c r="M812" s="13" t="s">
        <v>2187</v>
      </c>
      <c r="N812" s="12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3" t="s">
        <v>2766</v>
      </c>
      <c r="AB812" s="13" t="s">
        <v>2663</v>
      </c>
      <c r="AC812" s="13" t="s">
        <v>2338</v>
      </c>
      <c r="AD812" s="13" t="s">
        <v>849</v>
      </c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</row>
    <row r="813" spans="1:40" ht="20.100000000000001" customHeight="1">
      <c r="A813" s="11">
        <v>812</v>
      </c>
      <c r="B813" s="12" t="s">
        <v>38</v>
      </c>
      <c r="C813" s="12" t="s">
        <v>38</v>
      </c>
      <c r="D813" s="13" t="s">
        <v>2312</v>
      </c>
      <c r="E813" s="11"/>
      <c r="F813" s="12"/>
      <c r="G813" s="13" t="str">
        <f>"9780801454455"</f>
        <v>9780801454455</v>
      </c>
      <c r="H813" s="13" t="s">
        <v>1920</v>
      </c>
      <c r="I813" s="11" t="s">
        <v>2787</v>
      </c>
      <c r="J813" s="11"/>
      <c r="K813" s="11"/>
      <c r="L813" s="11"/>
      <c r="M813" s="13" t="s">
        <v>2229</v>
      </c>
      <c r="N813" s="12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3" t="s">
        <v>2766</v>
      </c>
      <c r="AB813" s="13">
        <v>320</v>
      </c>
      <c r="AC813" s="13" t="s">
        <v>2329</v>
      </c>
      <c r="AD813" s="13" t="s">
        <v>850</v>
      </c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</row>
    <row r="814" spans="1:40" ht="20.100000000000001" customHeight="1">
      <c r="A814" s="11">
        <v>813</v>
      </c>
      <c r="B814" s="12" t="s">
        <v>38</v>
      </c>
      <c r="C814" s="12" t="s">
        <v>38</v>
      </c>
      <c r="D814" s="13" t="s">
        <v>2312</v>
      </c>
      <c r="E814" s="11"/>
      <c r="F814" s="12"/>
      <c r="G814" s="13" t="str">
        <f>"9781597568807"</f>
        <v>9781597568807</v>
      </c>
      <c r="H814" s="13" t="s">
        <v>1921</v>
      </c>
      <c r="I814" s="11" t="s">
        <v>2777</v>
      </c>
      <c r="J814" s="11"/>
      <c r="K814" s="11"/>
      <c r="L814" s="11"/>
      <c r="M814" s="13" t="s">
        <v>2218</v>
      </c>
      <c r="N814" s="12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3" t="s">
        <v>2766</v>
      </c>
      <c r="AB814" s="13"/>
      <c r="AC814" s="13" t="s">
        <v>2328</v>
      </c>
      <c r="AD814" s="13" t="s">
        <v>851</v>
      </c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</row>
    <row r="815" spans="1:40" ht="20.100000000000001" customHeight="1">
      <c r="A815" s="11">
        <v>814</v>
      </c>
      <c r="B815" s="12" t="s">
        <v>38</v>
      </c>
      <c r="C815" s="12" t="s">
        <v>38</v>
      </c>
      <c r="D815" s="13" t="s">
        <v>2312</v>
      </c>
      <c r="E815" s="11"/>
      <c r="F815" s="12"/>
      <c r="G815" s="13" t="str">
        <f>"9789004297357"</f>
        <v>9789004297357</v>
      </c>
      <c r="H815" s="13" t="s">
        <v>1922</v>
      </c>
      <c r="I815" s="11" t="s">
        <v>2789</v>
      </c>
      <c r="J815" s="11"/>
      <c r="K815" s="11"/>
      <c r="L815" s="11"/>
      <c r="M815" s="13" t="s">
        <v>2184</v>
      </c>
      <c r="N815" s="12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3" t="s">
        <v>2766</v>
      </c>
      <c r="AB815" s="13">
        <v>408.99239999999998</v>
      </c>
      <c r="AC815" s="13" t="s">
        <v>2345</v>
      </c>
      <c r="AD815" s="13" t="s">
        <v>852</v>
      </c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</row>
    <row r="816" spans="1:40" ht="20.100000000000001" customHeight="1">
      <c r="A816" s="11">
        <v>815</v>
      </c>
      <c r="B816" s="12" t="s">
        <v>38</v>
      </c>
      <c r="C816" s="12" t="s">
        <v>38</v>
      </c>
      <c r="D816" s="13" t="s">
        <v>2312</v>
      </c>
      <c r="E816" s="11"/>
      <c r="F816" s="12"/>
      <c r="G816" s="13" t="str">
        <f>"9789004305861"</f>
        <v>9789004305861</v>
      </c>
      <c r="H816" s="13" t="s">
        <v>1923</v>
      </c>
      <c r="I816" s="11" t="s">
        <v>2789</v>
      </c>
      <c r="J816" s="11"/>
      <c r="K816" s="11"/>
      <c r="L816" s="11"/>
      <c r="M816" s="13" t="s">
        <v>2184</v>
      </c>
      <c r="N816" s="12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3" t="s">
        <v>2766</v>
      </c>
      <c r="AB816" s="13" t="s">
        <v>2733</v>
      </c>
      <c r="AC816" s="13" t="s">
        <v>2323</v>
      </c>
      <c r="AD816" s="13" t="s">
        <v>853</v>
      </c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</row>
    <row r="817" spans="1:40" ht="20.100000000000001" customHeight="1">
      <c r="A817" s="11">
        <v>816</v>
      </c>
      <c r="B817" s="12" t="s">
        <v>38</v>
      </c>
      <c r="C817" s="12" t="s">
        <v>38</v>
      </c>
      <c r="D817" s="13" t="s">
        <v>2312</v>
      </c>
      <c r="E817" s="11"/>
      <c r="F817" s="12"/>
      <c r="G817" s="13" t="str">
        <f>"9780231518505"</f>
        <v>9780231518505</v>
      </c>
      <c r="H817" s="13" t="s">
        <v>1924</v>
      </c>
      <c r="I817" s="11" t="s">
        <v>2790</v>
      </c>
      <c r="J817" s="11"/>
      <c r="K817" s="11"/>
      <c r="L817" s="11"/>
      <c r="M817" s="13" t="s">
        <v>2197</v>
      </c>
      <c r="N817" s="12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3" t="s">
        <v>2766</v>
      </c>
      <c r="AB817" s="13"/>
      <c r="AC817" s="13" t="s">
        <v>2313</v>
      </c>
      <c r="AD817" s="13" t="s">
        <v>854</v>
      </c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</row>
    <row r="818" spans="1:40" ht="20.100000000000001" customHeight="1">
      <c r="A818" s="11">
        <v>817</v>
      </c>
      <c r="B818" s="12" t="s">
        <v>38</v>
      </c>
      <c r="C818" s="12" t="s">
        <v>38</v>
      </c>
      <c r="D818" s="13" t="s">
        <v>2312</v>
      </c>
      <c r="E818" s="11"/>
      <c r="F818" s="12"/>
      <c r="G818" s="13" t="str">
        <f>"9789027268396"</f>
        <v>9789027268396</v>
      </c>
      <c r="H818" s="13" t="s">
        <v>1925</v>
      </c>
      <c r="I818" s="11" t="s">
        <v>2790</v>
      </c>
      <c r="J818" s="11"/>
      <c r="K818" s="11"/>
      <c r="L818" s="11"/>
      <c r="M818" s="13" t="s">
        <v>2245</v>
      </c>
      <c r="N818" s="12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3" t="s">
        <v>2766</v>
      </c>
      <c r="AB818" s="13" t="s">
        <v>2734</v>
      </c>
      <c r="AC818" s="13" t="s">
        <v>2345</v>
      </c>
      <c r="AD818" s="13" t="s">
        <v>855</v>
      </c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</row>
    <row r="819" spans="1:40" ht="20.100000000000001" customHeight="1">
      <c r="A819" s="11">
        <v>818</v>
      </c>
      <c r="B819" s="12" t="s">
        <v>38</v>
      </c>
      <c r="C819" s="12" t="s">
        <v>38</v>
      </c>
      <c r="D819" s="13" t="s">
        <v>2312</v>
      </c>
      <c r="E819" s="11"/>
      <c r="F819" s="12"/>
      <c r="G819" s="13" t="str">
        <f>"9789004188846"</f>
        <v>9789004188846</v>
      </c>
      <c r="H819" s="13" t="s">
        <v>1926</v>
      </c>
      <c r="I819" s="11" t="s">
        <v>2783</v>
      </c>
      <c r="J819" s="11"/>
      <c r="K819" s="11"/>
      <c r="L819" s="11"/>
      <c r="M819" s="13" t="s">
        <v>2184</v>
      </c>
      <c r="N819" s="12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3" t="s">
        <v>2766</v>
      </c>
      <c r="AB819" s="13">
        <v>882</v>
      </c>
      <c r="AC819" s="13" t="s">
        <v>2313</v>
      </c>
      <c r="AD819" s="13" t="s">
        <v>856</v>
      </c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</row>
    <row r="820" spans="1:40" ht="20.100000000000001" customHeight="1">
      <c r="A820" s="11">
        <v>819</v>
      </c>
      <c r="B820" s="12" t="s">
        <v>38</v>
      </c>
      <c r="C820" s="12" t="s">
        <v>38</v>
      </c>
      <c r="D820" s="13" t="s">
        <v>2312</v>
      </c>
      <c r="E820" s="11"/>
      <c r="F820" s="12"/>
      <c r="G820" s="13" t="str">
        <f>"9789004294103"</f>
        <v>9789004294103</v>
      </c>
      <c r="H820" s="13" t="s">
        <v>1927</v>
      </c>
      <c r="I820" s="11" t="s">
        <v>2781</v>
      </c>
      <c r="J820" s="11"/>
      <c r="K820" s="11"/>
      <c r="L820" s="11"/>
      <c r="M820" s="13" t="s">
        <v>2184</v>
      </c>
      <c r="N820" s="12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3" t="s">
        <v>2766</v>
      </c>
      <c r="AB820" s="13">
        <v>939.43</v>
      </c>
      <c r="AC820" s="13" t="s">
        <v>2317</v>
      </c>
      <c r="AD820" s="13" t="s">
        <v>857</v>
      </c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</row>
    <row r="821" spans="1:40" ht="20.100000000000001" customHeight="1">
      <c r="A821" s="11">
        <v>820</v>
      </c>
      <c r="B821" s="12" t="s">
        <v>38</v>
      </c>
      <c r="C821" s="12" t="s">
        <v>38</v>
      </c>
      <c r="D821" s="13" t="s">
        <v>2312</v>
      </c>
      <c r="E821" s="11"/>
      <c r="F821" s="12"/>
      <c r="G821" s="13" t="str">
        <f>"9789004294158"</f>
        <v>9789004294158</v>
      </c>
      <c r="H821" s="13" t="s">
        <v>1928</v>
      </c>
      <c r="I821" s="11" t="s">
        <v>2779</v>
      </c>
      <c r="J821" s="11"/>
      <c r="K821" s="11"/>
      <c r="L821" s="11"/>
      <c r="M821" s="13" t="s">
        <v>2184</v>
      </c>
      <c r="N821" s="12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3" t="s">
        <v>2766</v>
      </c>
      <c r="AB821" s="13"/>
      <c r="AC821" s="13" t="s">
        <v>2345</v>
      </c>
      <c r="AD821" s="13" t="s">
        <v>858</v>
      </c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</row>
    <row r="822" spans="1:40" ht="20.100000000000001" customHeight="1">
      <c r="A822" s="11">
        <v>821</v>
      </c>
      <c r="B822" s="12" t="s">
        <v>38</v>
      </c>
      <c r="C822" s="12" t="s">
        <v>38</v>
      </c>
      <c r="D822" s="13" t="s">
        <v>2312</v>
      </c>
      <c r="E822" s="11"/>
      <c r="F822" s="12"/>
      <c r="G822" s="13" t="str">
        <f>"9789004294202"</f>
        <v>9789004294202</v>
      </c>
      <c r="H822" s="13" t="s">
        <v>1929</v>
      </c>
      <c r="I822" s="11" t="s">
        <v>2779</v>
      </c>
      <c r="J822" s="11"/>
      <c r="K822" s="11"/>
      <c r="L822" s="11"/>
      <c r="M822" s="13" t="s">
        <v>2184</v>
      </c>
      <c r="N822" s="12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3" t="s">
        <v>2766</v>
      </c>
      <c r="AB822" s="13" t="s">
        <v>2735</v>
      </c>
      <c r="AC822" s="13" t="s">
        <v>2345</v>
      </c>
      <c r="AD822" s="13" t="s">
        <v>859</v>
      </c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</row>
    <row r="823" spans="1:40" ht="20.100000000000001" customHeight="1">
      <c r="A823" s="11">
        <v>822</v>
      </c>
      <c r="B823" s="12" t="s">
        <v>38</v>
      </c>
      <c r="C823" s="12" t="s">
        <v>38</v>
      </c>
      <c r="D823" s="13" t="s">
        <v>2312</v>
      </c>
      <c r="E823" s="11"/>
      <c r="F823" s="12"/>
      <c r="G823" s="13" t="str">
        <f>"9789004305021"</f>
        <v>9789004305021</v>
      </c>
      <c r="H823" s="13" t="s">
        <v>1930</v>
      </c>
      <c r="I823" s="11" t="s">
        <v>2787</v>
      </c>
      <c r="J823" s="11"/>
      <c r="K823" s="11"/>
      <c r="L823" s="11"/>
      <c r="M823" s="13" t="s">
        <v>2184</v>
      </c>
      <c r="N823" s="12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3" t="s">
        <v>2766</v>
      </c>
      <c r="AB823" s="13"/>
      <c r="AC823" s="13" t="s">
        <v>2345</v>
      </c>
      <c r="AD823" s="13" t="s">
        <v>860</v>
      </c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</row>
    <row r="824" spans="1:40" ht="20.100000000000001" customHeight="1">
      <c r="A824" s="11">
        <v>823</v>
      </c>
      <c r="B824" s="12" t="s">
        <v>38</v>
      </c>
      <c r="C824" s="12" t="s">
        <v>38</v>
      </c>
      <c r="D824" s="13" t="s">
        <v>2312</v>
      </c>
      <c r="E824" s="11"/>
      <c r="F824" s="12"/>
      <c r="G824" s="13" t="str">
        <f>"9789004305045"</f>
        <v>9789004305045</v>
      </c>
      <c r="H824" s="13" t="s">
        <v>1931</v>
      </c>
      <c r="I824" s="11" t="s">
        <v>2781</v>
      </c>
      <c r="J824" s="11"/>
      <c r="K824" s="11"/>
      <c r="L824" s="11"/>
      <c r="M824" s="13" t="s">
        <v>2184</v>
      </c>
      <c r="N824" s="12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3" t="s">
        <v>2766</v>
      </c>
      <c r="AB824" s="13" t="s">
        <v>2736</v>
      </c>
      <c r="AC824" s="13" t="s">
        <v>2345</v>
      </c>
      <c r="AD824" s="13" t="s">
        <v>861</v>
      </c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</row>
    <row r="825" spans="1:40" ht="20.100000000000001" customHeight="1">
      <c r="A825" s="11">
        <v>824</v>
      </c>
      <c r="B825" s="12" t="s">
        <v>38</v>
      </c>
      <c r="C825" s="12" t="s">
        <v>38</v>
      </c>
      <c r="D825" s="13" t="s">
        <v>2312</v>
      </c>
      <c r="E825" s="11"/>
      <c r="F825" s="12"/>
      <c r="G825" s="13" t="str">
        <f>"9781553395065"</f>
        <v>9781553395065</v>
      </c>
      <c r="H825" s="13" t="s">
        <v>1932</v>
      </c>
      <c r="I825" s="11" t="s">
        <v>2790</v>
      </c>
      <c r="J825" s="11"/>
      <c r="K825" s="11"/>
      <c r="L825" s="11"/>
      <c r="M825" s="13" t="s">
        <v>2246</v>
      </c>
      <c r="N825" s="12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3" t="s">
        <v>2766</v>
      </c>
      <c r="AB825" s="13"/>
      <c r="AC825" s="13" t="s">
        <v>2334</v>
      </c>
      <c r="AD825" s="13" t="s">
        <v>862</v>
      </c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</row>
    <row r="826" spans="1:40" ht="20.100000000000001" customHeight="1">
      <c r="A826" s="11">
        <v>825</v>
      </c>
      <c r="B826" s="12" t="s">
        <v>38</v>
      </c>
      <c r="C826" s="12" t="s">
        <v>38</v>
      </c>
      <c r="D826" s="13" t="s">
        <v>2312</v>
      </c>
      <c r="E826" s="11"/>
      <c r="F826" s="12"/>
      <c r="G826" s="13" t="str">
        <f>"9781476622682"</f>
        <v>9781476622682</v>
      </c>
      <c r="H826" s="13" t="s">
        <v>1933</v>
      </c>
      <c r="I826" s="11" t="s">
        <v>2790</v>
      </c>
      <c r="J826" s="11"/>
      <c r="K826" s="11"/>
      <c r="L826" s="11"/>
      <c r="M826" s="13" t="s">
        <v>2187</v>
      </c>
      <c r="N826" s="12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3" t="s">
        <v>2766</v>
      </c>
      <c r="AB826" s="13">
        <v>1.944</v>
      </c>
      <c r="AC826" s="13" t="s">
        <v>2354</v>
      </c>
      <c r="AD826" s="13" t="s">
        <v>863</v>
      </c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</row>
    <row r="827" spans="1:40" ht="20.100000000000001" customHeight="1">
      <c r="A827" s="11">
        <v>826</v>
      </c>
      <c r="B827" s="12" t="s">
        <v>38</v>
      </c>
      <c r="C827" s="12" t="s">
        <v>38</v>
      </c>
      <c r="D827" s="13" t="s">
        <v>2312</v>
      </c>
      <c r="E827" s="11"/>
      <c r="F827" s="12"/>
      <c r="G827" s="13" t="str">
        <f>"9781476622774"</f>
        <v>9781476622774</v>
      </c>
      <c r="H827" s="13" t="s">
        <v>1934</v>
      </c>
      <c r="I827" s="11" t="s">
        <v>2790</v>
      </c>
      <c r="J827" s="11"/>
      <c r="K827" s="11"/>
      <c r="L827" s="11"/>
      <c r="M827" s="13" t="s">
        <v>2187</v>
      </c>
      <c r="N827" s="12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3" t="s">
        <v>2766</v>
      </c>
      <c r="AB827" s="13">
        <v>839.53087209</v>
      </c>
      <c r="AC827" s="13" t="s">
        <v>2313</v>
      </c>
      <c r="AD827" s="13" t="s">
        <v>864</v>
      </c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</row>
    <row r="828" spans="1:40" ht="20.100000000000001" customHeight="1">
      <c r="A828" s="11">
        <v>827</v>
      </c>
      <c r="B828" s="12" t="s">
        <v>38</v>
      </c>
      <c r="C828" s="12" t="s">
        <v>38</v>
      </c>
      <c r="D828" s="13" t="s">
        <v>2312</v>
      </c>
      <c r="E828" s="11"/>
      <c r="F828" s="12"/>
      <c r="G828" s="13" t="str">
        <f>"9783527681945"</f>
        <v>9783527681945</v>
      </c>
      <c r="H828" s="13" t="s">
        <v>1935</v>
      </c>
      <c r="I828" s="11" t="s">
        <v>2790</v>
      </c>
      <c r="J828" s="11"/>
      <c r="K828" s="11"/>
      <c r="L828" s="11"/>
      <c r="M828" s="13" t="s">
        <v>2176</v>
      </c>
      <c r="N828" s="12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3" t="s">
        <v>2766</v>
      </c>
      <c r="AB828" s="13">
        <v>20.727</v>
      </c>
      <c r="AC828" s="13" t="s">
        <v>2432</v>
      </c>
      <c r="AD828" s="13" t="s">
        <v>865</v>
      </c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</row>
    <row r="829" spans="1:40" ht="20.100000000000001" customHeight="1">
      <c r="A829" s="11">
        <v>828</v>
      </c>
      <c r="B829" s="12" t="s">
        <v>38</v>
      </c>
      <c r="C829" s="12" t="s">
        <v>38</v>
      </c>
      <c r="D829" s="13" t="s">
        <v>2312</v>
      </c>
      <c r="E829" s="11"/>
      <c r="F829" s="12"/>
      <c r="G829" s="13" t="str">
        <f>"9781611177107"</f>
        <v>9781611177107</v>
      </c>
      <c r="H829" s="13" t="s">
        <v>1936</v>
      </c>
      <c r="I829" s="11" t="s">
        <v>2790</v>
      </c>
      <c r="J829" s="11"/>
      <c r="K829" s="11"/>
      <c r="L829" s="11"/>
      <c r="M829" s="13" t="s">
        <v>2247</v>
      </c>
      <c r="N829" s="12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3" t="s">
        <v>2766</v>
      </c>
      <c r="AB829" s="13">
        <v>30</v>
      </c>
      <c r="AC829" s="13" t="s">
        <v>2354</v>
      </c>
      <c r="AD829" s="13" t="s">
        <v>866</v>
      </c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</row>
    <row r="830" spans="1:40" ht="20.100000000000001" customHeight="1">
      <c r="A830" s="11">
        <v>829</v>
      </c>
      <c r="B830" s="12" t="s">
        <v>38</v>
      </c>
      <c r="C830" s="12" t="s">
        <v>38</v>
      </c>
      <c r="D830" s="13" t="s">
        <v>2312</v>
      </c>
      <c r="E830" s="11"/>
      <c r="F830" s="12"/>
      <c r="G830" s="13" t="str">
        <f>"9781476623382"</f>
        <v>9781476623382</v>
      </c>
      <c r="H830" s="13" t="s">
        <v>1937</v>
      </c>
      <c r="I830" s="11" t="s">
        <v>2790</v>
      </c>
      <c r="J830" s="11"/>
      <c r="K830" s="11"/>
      <c r="L830" s="11"/>
      <c r="M830" s="13" t="s">
        <v>2187</v>
      </c>
      <c r="N830" s="12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3" t="s">
        <v>2766</v>
      </c>
      <c r="AB830" s="13">
        <v>398.45030000000003</v>
      </c>
      <c r="AC830" s="13" t="s">
        <v>2318</v>
      </c>
      <c r="AD830" s="13" t="s">
        <v>867</v>
      </c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</row>
    <row r="831" spans="1:40" ht="20.100000000000001" customHeight="1">
      <c r="A831" s="11">
        <v>830</v>
      </c>
      <c r="B831" s="12" t="s">
        <v>38</v>
      </c>
      <c r="C831" s="12" t="s">
        <v>38</v>
      </c>
      <c r="D831" s="13" t="s">
        <v>2312</v>
      </c>
      <c r="E831" s="11"/>
      <c r="F831" s="12"/>
      <c r="G831" s="13" t="str">
        <f>"9789814721448"</f>
        <v>9789814721448</v>
      </c>
      <c r="H831" s="13" t="s">
        <v>1938</v>
      </c>
      <c r="I831" s="11" t="s">
        <v>2789</v>
      </c>
      <c r="J831" s="11"/>
      <c r="K831" s="11"/>
      <c r="L831" s="11"/>
      <c r="M831" s="13" t="s">
        <v>2248</v>
      </c>
      <c r="N831" s="12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3" t="s">
        <v>2766</v>
      </c>
      <c r="AB831" s="13">
        <v>915.95002999999895</v>
      </c>
      <c r="AC831" s="13" t="s">
        <v>2475</v>
      </c>
      <c r="AD831" s="13" t="s">
        <v>868</v>
      </c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</row>
    <row r="832" spans="1:40" ht="20.100000000000001" customHeight="1">
      <c r="A832" s="11">
        <v>831</v>
      </c>
      <c r="B832" s="12" t="s">
        <v>38</v>
      </c>
      <c r="C832" s="12" t="s">
        <v>38</v>
      </c>
      <c r="D832" s="13" t="s">
        <v>2312</v>
      </c>
      <c r="E832" s="11"/>
      <c r="F832" s="12"/>
      <c r="G832" s="13" t="str">
        <f>"9789004307667"</f>
        <v>9789004307667</v>
      </c>
      <c r="H832" s="13" t="s">
        <v>1939</v>
      </c>
      <c r="I832" s="11" t="s">
        <v>2790</v>
      </c>
      <c r="J832" s="11"/>
      <c r="K832" s="11"/>
      <c r="L832" s="11"/>
      <c r="M832" s="13" t="s">
        <v>2184</v>
      </c>
      <c r="N832" s="12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3" t="s">
        <v>2766</v>
      </c>
      <c r="AB832" s="13" t="s">
        <v>2737</v>
      </c>
      <c r="AC832" s="13" t="s">
        <v>2323</v>
      </c>
      <c r="AD832" s="13" t="s">
        <v>869</v>
      </c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</row>
    <row r="833" spans="1:40" ht="20.100000000000001" customHeight="1">
      <c r="A833" s="11">
        <v>832</v>
      </c>
      <c r="B833" s="12" t="s">
        <v>38</v>
      </c>
      <c r="C833" s="12" t="s">
        <v>38</v>
      </c>
      <c r="D833" s="13" t="s">
        <v>2312</v>
      </c>
      <c r="E833" s="11"/>
      <c r="F833" s="12"/>
      <c r="G833" s="13" t="str">
        <f>"9780253021564"</f>
        <v>9780253021564</v>
      </c>
      <c r="H833" s="13" t="s">
        <v>1940</v>
      </c>
      <c r="I833" s="11" t="s">
        <v>2790</v>
      </c>
      <c r="J833" s="11"/>
      <c r="K833" s="11"/>
      <c r="L833" s="11"/>
      <c r="M833" s="13" t="s">
        <v>2207</v>
      </c>
      <c r="N833" s="12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3" t="s">
        <v>2766</v>
      </c>
      <c r="AB833" s="13">
        <v>909.0496333003</v>
      </c>
      <c r="AC833" s="13" t="s">
        <v>2475</v>
      </c>
      <c r="AD833" s="13" t="s">
        <v>870</v>
      </c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</row>
    <row r="834" spans="1:40" ht="20.100000000000001" customHeight="1">
      <c r="A834" s="11">
        <v>833</v>
      </c>
      <c r="B834" s="12" t="s">
        <v>38</v>
      </c>
      <c r="C834" s="12" t="s">
        <v>38</v>
      </c>
      <c r="D834" s="13" t="s">
        <v>2312</v>
      </c>
      <c r="E834" s="11"/>
      <c r="F834" s="12"/>
      <c r="G834" s="13" t="str">
        <f>"9781612519548"</f>
        <v>9781612519548</v>
      </c>
      <c r="H834" s="13" t="s">
        <v>1941</v>
      </c>
      <c r="I834" s="11" t="s">
        <v>2786</v>
      </c>
      <c r="J834" s="11"/>
      <c r="K834" s="11"/>
      <c r="L834" s="11"/>
      <c r="M834" s="13" t="s">
        <v>2249</v>
      </c>
      <c r="N834" s="12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3" t="s">
        <v>2766</v>
      </c>
      <c r="AB834" s="13">
        <v>940.54</v>
      </c>
      <c r="AC834" s="13" t="s">
        <v>2317</v>
      </c>
      <c r="AD834" s="13" t="s">
        <v>871</v>
      </c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</row>
    <row r="835" spans="1:40" ht="20.100000000000001" customHeight="1">
      <c r="A835" s="11">
        <v>834</v>
      </c>
      <c r="B835" s="12" t="s">
        <v>38</v>
      </c>
      <c r="C835" s="12" t="s">
        <v>38</v>
      </c>
      <c r="D835" s="13" t="s">
        <v>2312</v>
      </c>
      <c r="E835" s="11"/>
      <c r="F835" s="12"/>
      <c r="G835" s="13" t="str">
        <f>"9789027267566"</f>
        <v>9789027267566</v>
      </c>
      <c r="H835" s="13" t="s">
        <v>1942</v>
      </c>
      <c r="I835" s="11" t="s">
        <v>2790</v>
      </c>
      <c r="J835" s="11"/>
      <c r="K835" s="11"/>
      <c r="L835" s="11"/>
      <c r="M835" s="13" t="s">
        <v>2245</v>
      </c>
      <c r="N835" s="12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3" t="s">
        <v>2766</v>
      </c>
      <c r="AB835" s="13">
        <v>418</v>
      </c>
      <c r="AC835" s="13" t="s">
        <v>2345</v>
      </c>
      <c r="AD835" s="13" t="s">
        <v>872</v>
      </c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</row>
    <row r="836" spans="1:40" ht="20.100000000000001" customHeight="1">
      <c r="A836" s="11">
        <v>835</v>
      </c>
      <c r="B836" s="12" t="s">
        <v>38</v>
      </c>
      <c r="C836" s="12" t="s">
        <v>38</v>
      </c>
      <c r="D836" s="13" t="s">
        <v>2312</v>
      </c>
      <c r="E836" s="11"/>
      <c r="F836" s="12"/>
      <c r="G836" s="13" t="str">
        <f>"9781610583787"</f>
        <v>9781610583787</v>
      </c>
      <c r="H836" s="13" t="s">
        <v>1943</v>
      </c>
      <c r="I836" s="11" t="s">
        <v>2780</v>
      </c>
      <c r="J836" s="11"/>
      <c r="K836" s="11"/>
      <c r="L836" s="11"/>
      <c r="M836" s="13" t="s">
        <v>2250</v>
      </c>
      <c r="N836" s="12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3" t="s">
        <v>2766</v>
      </c>
      <c r="AB836" s="13">
        <v>751.42243429999996</v>
      </c>
      <c r="AC836" s="13" t="s">
        <v>2315</v>
      </c>
      <c r="AD836" s="13" t="s">
        <v>873</v>
      </c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</row>
    <row r="837" spans="1:40" ht="20.100000000000001" customHeight="1">
      <c r="A837" s="11">
        <v>836</v>
      </c>
      <c r="B837" s="12" t="s">
        <v>38</v>
      </c>
      <c r="C837" s="12" t="s">
        <v>38</v>
      </c>
      <c r="D837" s="13" t="s">
        <v>2312</v>
      </c>
      <c r="E837" s="11"/>
      <c r="F837" s="12"/>
      <c r="G837" s="13" t="str">
        <f>"9781442670884"</f>
        <v>9781442670884</v>
      </c>
      <c r="H837" s="13" t="s">
        <v>1944</v>
      </c>
      <c r="I837" s="11" t="s">
        <v>2776</v>
      </c>
      <c r="J837" s="11"/>
      <c r="K837" s="11"/>
      <c r="L837" s="11"/>
      <c r="M837" s="13" t="s">
        <v>2251</v>
      </c>
      <c r="N837" s="12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3" t="s">
        <v>2766</v>
      </c>
      <c r="AB837" s="13" t="s">
        <v>2738</v>
      </c>
      <c r="AC837" s="13" t="s">
        <v>2354</v>
      </c>
      <c r="AD837" s="13" t="s">
        <v>874</v>
      </c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</row>
    <row r="838" spans="1:40" ht="20.100000000000001" customHeight="1">
      <c r="A838" s="11">
        <v>837</v>
      </c>
      <c r="B838" s="12" t="s">
        <v>38</v>
      </c>
      <c r="C838" s="12" t="s">
        <v>38</v>
      </c>
      <c r="D838" s="13" t="s">
        <v>2312</v>
      </c>
      <c r="E838" s="11"/>
      <c r="F838" s="12"/>
      <c r="G838" s="13" t="str">
        <f>"9780300156065"</f>
        <v>9780300156065</v>
      </c>
      <c r="H838" s="13" t="s">
        <v>1945</v>
      </c>
      <c r="I838" s="11" t="s">
        <v>2780</v>
      </c>
      <c r="J838" s="11"/>
      <c r="K838" s="11"/>
      <c r="L838" s="11"/>
      <c r="M838" s="13" t="s">
        <v>2241</v>
      </c>
      <c r="N838" s="12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3" t="s">
        <v>2766</v>
      </c>
      <c r="AB838" s="13">
        <v>340.09219999999999</v>
      </c>
      <c r="AC838" s="13" t="s">
        <v>2334</v>
      </c>
      <c r="AD838" s="13" t="s">
        <v>875</v>
      </c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</row>
    <row r="839" spans="1:40" ht="20.100000000000001" customHeight="1">
      <c r="A839" s="11">
        <v>838</v>
      </c>
      <c r="B839" s="12" t="s">
        <v>38</v>
      </c>
      <c r="C839" s="12" t="s">
        <v>38</v>
      </c>
      <c r="D839" s="13" t="s">
        <v>2312</v>
      </c>
      <c r="E839" s="11"/>
      <c r="F839" s="12"/>
      <c r="G839" s="13" t="str">
        <f>"9781476625997"</f>
        <v>9781476625997</v>
      </c>
      <c r="H839" s="13" t="s">
        <v>1946</v>
      </c>
      <c r="I839" s="11" t="s">
        <v>2790</v>
      </c>
      <c r="J839" s="11"/>
      <c r="K839" s="11"/>
      <c r="L839" s="11"/>
      <c r="M839" s="13" t="s">
        <v>2187</v>
      </c>
      <c r="N839" s="12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3" t="s">
        <v>2766</v>
      </c>
      <c r="AB839" s="13">
        <v>920.02</v>
      </c>
      <c r="AC839" s="13" t="s">
        <v>2317</v>
      </c>
      <c r="AD839" s="13" t="s">
        <v>876</v>
      </c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</row>
    <row r="840" spans="1:40" ht="20.100000000000001" customHeight="1">
      <c r="A840" s="11">
        <v>839</v>
      </c>
      <c r="B840" s="12" t="s">
        <v>38</v>
      </c>
      <c r="C840" s="12" t="s">
        <v>38</v>
      </c>
      <c r="D840" s="13" t="s">
        <v>2312</v>
      </c>
      <c r="E840" s="11"/>
      <c r="F840" s="12"/>
      <c r="G840" s="13" t="str">
        <f>"9781619259324"</f>
        <v>9781619259324</v>
      </c>
      <c r="H840" s="13" t="s">
        <v>1947</v>
      </c>
      <c r="I840" s="11" t="s">
        <v>2790</v>
      </c>
      <c r="J840" s="11"/>
      <c r="K840" s="11"/>
      <c r="L840" s="11"/>
      <c r="M840" s="13" t="s">
        <v>2231</v>
      </c>
      <c r="N840" s="12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3" t="s">
        <v>2766</v>
      </c>
      <c r="AB840" s="13">
        <v>371.01097302099902</v>
      </c>
      <c r="AC840" s="13" t="s">
        <v>2349</v>
      </c>
      <c r="AD840" s="13" t="s">
        <v>877</v>
      </c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</row>
    <row r="841" spans="1:40" ht="20.100000000000001" customHeight="1">
      <c r="A841" s="11">
        <v>840</v>
      </c>
      <c r="B841" s="12" t="s">
        <v>38</v>
      </c>
      <c r="C841" s="12" t="s">
        <v>38</v>
      </c>
      <c r="D841" s="13" t="s">
        <v>2312</v>
      </c>
      <c r="E841" s="11"/>
      <c r="F841" s="12"/>
      <c r="G841" s="13" t="str">
        <f>"9781503600225"</f>
        <v>9781503600225</v>
      </c>
      <c r="H841" s="13" t="s">
        <v>1948</v>
      </c>
      <c r="I841" s="11" t="s">
        <v>2790</v>
      </c>
      <c r="J841" s="11"/>
      <c r="K841" s="11"/>
      <c r="L841" s="11"/>
      <c r="M841" s="13" t="s">
        <v>2252</v>
      </c>
      <c r="N841" s="12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3" t="s">
        <v>2766</v>
      </c>
      <c r="AB841" s="13">
        <v>301.02999999999997</v>
      </c>
      <c r="AC841" s="13" t="s">
        <v>2318</v>
      </c>
      <c r="AD841" s="13" t="s">
        <v>878</v>
      </c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</row>
    <row r="842" spans="1:40" ht="20.100000000000001" customHeight="1">
      <c r="A842" s="11">
        <v>841</v>
      </c>
      <c r="B842" s="12" t="s">
        <v>38</v>
      </c>
      <c r="C842" s="12" t="s">
        <v>38</v>
      </c>
      <c r="D842" s="13" t="s">
        <v>2312</v>
      </c>
      <c r="E842" s="11"/>
      <c r="F842" s="12"/>
      <c r="G842" s="13" t="str">
        <f>"9781442680104"</f>
        <v>9781442680104</v>
      </c>
      <c r="H842" s="13" t="s">
        <v>1110</v>
      </c>
      <c r="I842" s="11" t="s">
        <v>2791</v>
      </c>
      <c r="J842" s="11"/>
      <c r="K842" s="11"/>
      <c r="L842" s="11"/>
      <c r="M842" s="13" t="s">
        <v>2251</v>
      </c>
      <c r="N842" s="12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3" t="s">
        <v>2766</v>
      </c>
      <c r="AB842" s="13">
        <v>821.3</v>
      </c>
      <c r="AC842" s="13" t="s">
        <v>2313</v>
      </c>
      <c r="AD842" s="13" t="s">
        <v>879</v>
      </c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</row>
    <row r="843" spans="1:40" ht="20.100000000000001" customHeight="1">
      <c r="A843" s="11">
        <v>842</v>
      </c>
      <c r="B843" s="12" t="s">
        <v>38</v>
      </c>
      <c r="C843" s="12" t="s">
        <v>38</v>
      </c>
      <c r="D843" s="13" t="s">
        <v>2312</v>
      </c>
      <c r="E843" s="11"/>
      <c r="F843" s="12"/>
      <c r="G843" s="13" t="str">
        <f>"9781442695528"</f>
        <v>9781442695528</v>
      </c>
      <c r="H843" s="13" t="s">
        <v>1949</v>
      </c>
      <c r="I843" s="11" t="s">
        <v>2786</v>
      </c>
      <c r="J843" s="11"/>
      <c r="K843" s="11"/>
      <c r="L843" s="11"/>
      <c r="M843" s="13" t="s">
        <v>2251</v>
      </c>
      <c r="N843" s="12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3" t="s">
        <v>2766</v>
      </c>
      <c r="AB843" s="13">
        <v>302.20299999999997</v>
      </c>
      <c r="AC843" s="13" t="s">
        <v>2318</v>
      </c>
      <c r="AD843" s="13" t="s">
        <v>880</v>
      </c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</row>
    <row r="844" spans="1:40" ht="20.100000000000001" customHeight="1">
      <c r="A844" s="11">
        <v>843</v>
      </c>
      <c r="B844" s="12" t="s">
        <v>38</v>
      </c>
      <c r="C844" s="12" t="s">
        <v>38</v>
      </c>
      <c r="D844" s="13" t="s">
        <v>2312</v>
      </c>
      <c r="E844" s="11"/>
      <c r="F844" s="12"/>
      <c r="G844" s="13" t="str">
        <f>"9780253022561"</f>
        <v>9780253022561</v>
      </c>
      <c r="H844" s="13" t="s">
        <v>1950</v>
      </c>
      <c r="I844" s="11" t="s">
        <v>2790</v>
      </c>
      <c r="J844" s="11"/>
      <c r="K844" s="11"/>
      <c r="L844" s="11"/>
      <c r="M844" s="13" t="s">
        <v>2207</v>
      </c>
      <c r="N844" s="12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3" t="s">
        <v>2766</v>
      </c>
      <c r="AB844" s="13">
        <v>910.3</v>
      </c>
      <c r="AC844" s="13" t="s">
        <v>2382</v>
      </c>
      <c r="AD844" s="13" t="s">
        <v>881</v>
      </c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</row>
    <row r="845" spans="1:40" ht="20.100000000000001" customHeight="1">
      <c r="A845" s="11">
        <v>844</v>
      </c>
      <c r="B845" s="12" t="s">
        <v>38</v>
      </c>
      <c r="C845" s="12" t="s">
        <v>38</v>
      </c>
      <c r="D845" s="13" t="s">
        <v>2312</v>
      </c>
      <c r="E845" s="11"/>
      <c r="F845" s="12"/>
      <c r="G845" s="13" t="str">
        <f>"9781625110343"</f>
        <v>9781625110343</v>
      </c>
      <c r="H845" s="13" t="s">
        <v>1951</v>
      </c>
      <c r="I845" s="11" t="s">
        <v>2789</v>
      </c>
      <c r="J845" s="11"/>
      <c r="K845" s="11"/>
      <c r="L845" s="11"/>
      <c r="M845" s="13" t="s">
        <v>2253</v>
      </c>
      <c r="N845" s="12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3" t="s">
        <v>2766</v>
      </c>
      <c r="AB845" s="13">
        <v>976.4</v>
      </c>
      <c r="AC845" s="13" t="s">
        <v>2476</v>
      </c>
      <c r="AD845" s="13" t="s">
        <v>882</v>
      </c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</row>
    <row r="846" spans="1:40" ht="20.100000000000001" customHeight="1">
      <c r="A846" s="11">
        <v>845</v>
      </c>
      <c r="B846" s="12" t="s">
        <v>38</v>
      </c>
      <c r="C846" s="12" t="s">
        <v>38</v>
      </c>
      <c r="D846" s="13" t="s">
        <v>2312</v>
      </c>
      <c r="E846" s="11"/>
      <c r="F846" s="12"/>
      <c r="G846" s="13" t="str">
        <f>"9781442669499"</f>
        <v>9781442669499</v>
      </c>
      <c r="H846" s="13" t="s">
        <v>1952</v>
      </c>
      <c r="I846" s="11" t="s">
        <v>2790</v>
      </c>
      <c r="J846" s="11"/>
      <c r="K846" s="11"/>
      <c r="L846" s="11"/>
      <c r="M846" s="13" t="s">
        <v>2251</v>
      </c>
      <c r="N846" s="12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3" t="s">
        <v>2766</v>
      </c>
      <c r="AB846" s="13" t="s">
        <v>2739</v>
      </c>
      <c r="AC846" s="13" t="s">
        <v>2345</v>
      </c>
      <c r="AD846" s="13" t="s">
        <v>883</v>
      </c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</row>
    <row r="847" spans="1:40" ht="20.100000000000001" customHeight="1">
      <c r="A847" s="11">
        <v>846</v>
      </c>
      <c r="B847" s="12" t="s">
        <v>38</v>
      </c>
      <c r="C847" s="12" t="s">
        <v>38</v>
      </c>
      <c r="D847" s="13" t="s">
        <v>2312</v>
      </c>
      <c r="E847" s="11"/>
      <c r="F847" s="12"/>
      <c r="G847" s="13" t="str">
        <f>"9780199714995"</f>
        <v>9780199714995</v>
      </c>
      <c r="H847" s="13" t="s">
        <v>1953</v>
      </c>
      <c r="I847" s="11" t="s">
        <v>2785</v>
      </c>
      <c r="J847" s="11"/>
      <c r="K847" s="11"/>
      <c r="L847" s="11"/>
      <c r="M847" s="13" t="s">
        <v>2188</v>
      </c>
      <c r="N847" s="12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3" t="s">
        <v>2766</v>
      </c>
      <c r="AB847" s="13">
        <v>616.85227065100003</v>
      </c>
      <c r="AC847" s="13" t="s">
        <v>2327</v>
      </c>
      <c r="AD847" s="13" t="s">
        <v>884</v>
      </c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</row>
    <row r="848" spans="1:40" ht="20.100000000000001" customHeight="1">
      <c r="A848" s="11">
        <v>847</v>
      </c>
      <c r="B848" s="12" t="s">
        <v>38</v>
      </c>
      <c r="C848" s="12" t="s">
        <v>38</v>
      </c>
      <c r="D848" s="13" t="s">
        <v>2312</v>
      </c>
      <c r="E848" s="11"/>
      <c r="F848" s="12"/>
      <c r="G848" s="13" t="str">
        <f>"9789004321823"</f>
        <v>9789004321823</v>
      </c>
      <c r="H848" s="13" t="s">
        <v>1954</v>
      </c>
      <c r="I848" s="11" t="s">
        <v>2790</v>
      </c>
      <c r="J848" s="11"/>
      <c r="K848" s="11"/>
      <c r="L848" s="11"/>
      <c r="M848" s="13" t="s">
        <v>2184</v>
      </c>
      <c r="N848" s="12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3" t="s">
        <v>2766</v>
      </c>
      <c r="AB848" s="13"/>
      <c r="AC848" s="13" t="s">
        <v>2345</v>
      </c>
      <c r="AD848" s="13" t="s">
        <v>885</v>
      </c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</row>
    <row r="849" spans="1:40" ht="20.100000000000001" customHeight="1">
      <c r="A849" s="11">
        <v>848</v>
      </c>
      <c r="B849" s="12" t="s">
        <v>38</v>
      </c>
      <c r="C849" s="12" t="s">
        <v>38</v>
      </c>
      <c r="D849" s="13" t="s">
        <v>2312</v>
      </c>
      <c r="E849" s="11"/>
      <c r="F849" s="12"/>
      <c r="G849" s="13" t="str">
        <f>"9781783096473"</f>
        <v>9781783096473</v>
      </c>
      <c r="H849" s="13" t="s">
        <v>1955</v>
      </c>
      <c r="I849" s="11" t="s">
        <v>2790</v>
      </c>
      <c r="J849" s="11"/>
      <c r="K849" s="11"/>
      <c r="L849" s="11"/>
      <c r="M849" s="13" t="s">
        <v>2254</v>
      </c>
      <c r="N849" s="12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3" t="s">
        <v>2766</v>
      </c>
      <c r="AB849" s="13">
        <v>401.4</v>
      </c>
      <c r="AC849" s="13" t="s">
        <v>2345</v>
      </c>
      <c r="AD849" s="13" t="s">
        <v>886</v>
      </c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</row>
    <row r="850" spans="1:40" ht="20.100000000000001" customHeight="1">
      <c r="A850" s="11">
        <v>849</v>
      </c>
      <c r="B850" s="12" t="s">
        <v>38</v>
      </c>
      <c r="C850" s="12" t="s">
        <v>38</v>
      </c>
      <c r="D850" s="13" t="s">
        <v>2312</v>
      </c>
      <c r="E850" s="11"/>
      <c r="F850" s="12"/>
      <c r="G850" s="13" t="str">
        <f>"9789004326422"</f>
        <v>9789004326422</v>
      </c>
      <c r="H850" s="13" t="s">
        <v>1956</v>
      </c>
      <c r="I850" s="11" t="s">
        <v>2790</v>
      </c>
      <c r="J850" s="11"/>
      <c r="K850" s="11"/>
      <c r="L850" s="11"/>
      <c r="M850" s="13" t="s">
        <v>2184</v>
      </c>
      <c r="N850" s="12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3" t="s">
        <v>2766</v>
      </c>
      <c r="AB850" s="13"/>
      <c r="AC850" s="13" t="s">
        <v>2345</v>
      </c>
      <c r="AD850" s="13" t="s">
        <v>887</v>
      </c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</row>
    <row r="851" spans="1:40" ht="20.100000000000001" customHeight="1">
      <c r="A851" s="11">
        <v>850</v>
      </c>
      <c r="B851" s="12" t="s">
        <v>38</v>
      </c>
      <c r="C851" s="12" t="s">
        <v>38</v>
      </c>
      <c r="D851" s="13" t="s">
        <v>2312</v>
      </c>
      <c r="E851" s="11"/>
      <c r="F851" s="12"/>
      <c r="G851" s="13" t="str">
        <f>"9789004326323"</f>
        <v>9789004326323</v>
      </c>
      <c r="H851" s="13" t="s">
        <v>1957</v>
      </c>
      <c r="I851" s="11" t="s">
        <v>2790</v>
      </c>
      <c r="J851" s="11"/>
      <c r="K851" s="11"/>
      <c r="L851" s="11"/>
      <c r="M851" s="13" t="s">
        <v>2184</v>
      </c>
      <c r="N851" s="12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3" t="s">
        <v>2766</v>
      </c>
      <c r="AB851" s="13" t="s">
        <v>2740</v>
      </c>
      <c r="AC851" s="13" t="s">
        <v>2313</v>
      </c>
      <c r="AD851" s="13" t="s">
        <v>888</v>
      </c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</row>
    <row r="852" spans="1:40" ht="20.100000000000001" customHeight="1">
      <c r="A852" s="11">
        <v>851</v>
      </c>
      <c r="B852" s="12" t="s">
        <v>38</v>
      </c>
      <c r="C852" s="12" t="s">
        <v>38</v>
      </c>
      <c r="D852" s="13" t="s">
        <v>2312</v>
      </c>
      <c r="E852" s="11"/>
      <c r="F852" s="12"/>
      <c r="G852" s="13" t="str">
        <f>"9780520965553"</f>
        <v>9780520965553</v>
      </c>
      <c r="H852" s="13" t="s">
        <v>1958</v>
      </c>
      <c r="I852" s="11" t="s">
        <v>2790</v>
      </c>
      <c r="J852" s="11"/>
      <c r="K852" s="11"/>
      <c r="L852" s="11"/>
      <c r="M852" s="13" t="s">
        <v>2211</v>
      </c>
      <c r="N852" s="12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3" t="s">
        <v>2766</v>
      </c>
      <c r="AB852" s="13"/>
      <c r="AC852" s="13" t="s">
        <v>2441</v>
      </c>
      <c r="AD852" s="13" t="s">
        <v>889</v>
      </c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</row>
    <row r="853" spans="1:40" ht="20.100000000000001" customHeight="1">
      <c r="A853" s="11">
        <v>852</v>
      </c>
      <c r="B853" s="12" t="s">
        <v>38</v>
      </c>
      <c r="C853" s="12" t="s">
        <v>38</v>
      </c>
      <c r="D853" s="13" t="s">
        <v>2312</v>
      </c>
      <c r="E853" s="11"/>
      <c r="F853" s="12"/>
      <c r="G853" s="13" t="str">
        <f>"9780191002717"</f>
        <v>9780191002717</v>
      </c>
      <c r="H853" s="13" t="s">
        <v>1959</v>
      </c>
      <c r="I853" s="11" t="s">
        <v>2790</v>
      </c>
      <c r="J853" s="11"/>
      <c r="K853" s="11"/>
      <c r="L853" s="11"/>
      <c r="M853" s="13" t="s">
        <v>2188</v>
      </c>
      <c r="N853" s="12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3" t="s">
        <v>2766</v>
      </c>
      <c r="AB853" s="13">
        <v>616.02499999999998</v>
      </c>
      <c r="AC853" s="13" t="s">
        <v>2477</v>
      </c>
      <c r="AD853" s="13" t="s">
        <v>890</v>
      </c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</row>
    <row r="854" spans="1:40" ht="20.100000000000001" customHeight="1">
      <c r="A854" s="11">
        <v>853</v>
      </c>
      <c r="B854" s="12" t="s">
        <v>38</v>
      </c>
      <c r="C854" s="12" t="s">
        <v>38</v>
      </c>
      <c r="D854" s="13" t="s">
        <v>2312</v>
      </c>
      <c r="E854" s="11"/>
      <c r="F854" s="12"/>
      <c r="G854" s="13" t="str">
        <f>"9789004326262"</f>
        <v>9789004326262</v>
      </c>
      <c r="H854" s="13" t="s">
        <v>1960</v>
      </c>
      <c r="I854" s="11" t="s">
        <v>2790</v>
      </c>
      <c r="J854" s="11"/>
      <c r="K854" s="11"/>
      <c r="L854" s="11"/>
      <c r="M854" s="13" t="s">
        <v>2184</v>
      </c>
      <c r="N854" s="12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3" t="s">
        <v>2766</v>
      </c>
      <c r="AB854" s="13" t="s">
        <v>2740</v>
      </c>
      <c r="AC854" s="13" t="s">
        <v>2313</v>
      </c>
      <c r="AD854" s="13" t="s">
        <v>891</v>
      </c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</row>
    <row r="855" spans="1:40" ht="20.100000000000001" customHeight="1">
      <c r="A855" s="11">
        <v>854</v>
      </c>
      <c r="B855" s="12" t="s">
        <v>38</v>
      </c>
      <c r="C855" s="12" t="s">
        <v>38</v>
      </c>
      <c r="D855" s="13" t="s">
        <v>2312</v>
      </c>
      <c r="E855" s="11"/>
      <c r="F855" s="12"/>
      <c r="G855" s="13" t="str">
        <f>"9780262336291"</f>
        <v>9780262336291</v>
      </c>
      <c r="H855" s="13" t="s">
        <v>1961</v>
      </c>
      <c r="I855" s="11" t="s">
        <v>2790</v>
      </c>
      <c r="J855" s="11"/>
      <c r="K855" s="11"/>
      <c r="L855" s="11"/>
      <c r="M855" s="13" t="s">
        <v>2235</v>
      </c>
      <c r="N855" s="12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3" t="s">
        <v>2766</v>
      </c>
      <c r="AB855" s="13">
        <v>650.1</v>
      </c>
      <c r="AC855" s="13" t="s">
        <v>2314</v>
      </c>
      <c r="AD855" s="13" t="s">
        <v>892</v>
      </c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</row>
    <row r="856" spans="1:40" ht="20.100000000000001" customHeight="1">
      <c r="A856" s="11">
        <v>855</v>
      </c>
      <c r="B856" s="12" t="s">
        <v>38</v>
      </c>
      <c r="C856" s="12" t="s">
        <v>38</v>
      </c>
      <c r="D856" s="13" t="s">
        <v>2312</v>
      </c>
      <c r="E856" s="11"/>
      <c r="F856" s="12"/>
      <c r="G856" s="13" t="str">
        <f>"9789004266179"</f>
        <v>9789004266179</v>
      </c>
      <c r="H856" s="13" t="s">
        <v>1962</v>
      </c>
      <c r="I856" s="11" t="s">
        <v>2788</v>
      </c>
      <c r="J856" s="11"/>
      <c r="K856" s="11"/>
      <c r="L856" s="11"/>
      <c r="M856" s="13" t="s">
        <v>2184</v>
      </c>
      <c r="N856" s="12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3" t="s">
        <v>2766</v>
      </c>
      <c r="AB856" s="13">
        <v>301.02999999999997</v>
      </c>
      <c r="AC856" s="13" t="s">
        <v>2318</v>
      </c>
      <c r="AD856" s="13" t="s">
        <v>893</v>
      </c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</row>
    <row r="857" spans="1:40" ht="20.100000000000001" customHeight="1">
      <c r="A857" s="11">
        <v>856</v>
      </c>
      <c r="B857" s="12" t="s">
        <v>38</v>
      </c>
      <c r="C857" s="12" t="s">
        <v>38</v>
      </c>
      <c r="D857" s="13" t="s">
        <v>2312</v>
      </c>
      <c r="E857" s="11"/>
      <c r="F857" s="12"/>
      <c r="G857" s="13" t="str">
        <f>"9789004325630"</f>
        <v>9789004325630</v>
      </c>
      <c r="H857" s="13" t="s">
        <v>1963</v>
      </c>
      <c r="I857" s="11" t="s">
        <v>2790</v>
      </c>
      <c r="J857" s="11"/>
      <c r="K857" s="11"/>
      <c r="L857" s="11"/>
      <c r="M857" s="13" t="s">
        <v>2184</v>
      </c>
      <c r="N857" s="12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3" t="s">
        <v>2766</v>
      </c>
      <c r="AB857" s="13"/>
      <c r="AC857" s="13" t="s">
        <v>2345</v>
      </c>
      <c r="AD857" s="13" t="s">
        <v>894</v>
      </c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</row>
    <row r="858" spans="1:40" ht="20.100000000000001" customHeight="1">
      <c r="A858" s="11">
        <v>857</v>
      </c>
      <c r="B858" s="12" t="s">
        <v>38</v>
      </c>
      <c r="C858" s="12" t="s">
        <v>38</v>
      </c>
      <c r="D858" s="13" t="s">
        <v>2312</v>
      </c>
      <c r="E858" s="11"/>
      <c r="F858" s="12"/>
      <c r="G858" s="13" t="str">
        <f>"9781631571299"</f>
        <v>9781631571299</v>
      </c>
      <c r="H858" s="13" t="s">
        <v>1964</v>
      </c>
      <c r="I858" s="11" t="s">
        <v>2790</v>
      </c>
      <c r="J858" s="11"/>
      <c r="K858" s="11"/>
      <c r="L858" s="11"/>
      <c r="M858" s="13" t="s">
        <v>2255</v>
      </c>
      <c r="N858" s="12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3" t="s">
        <v>2766</v>
      </c>
      <c r="AB858" s="13">
        <v>338.947</v>
      </c>
      <c r="AC858" s="13" t="s">
        <v>2359</v>
      </c>
      <c r="AD858" s="13" t="s">
        <v>895</v>
      </c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</row>
    <row r="859" spans="1:40" ht="20.100000000000001" customHeight="1">
      <c r="A859" s="11">
        <v>858</v>
      </c>
      <c r="B859" s="12" t="s">
        <v>38</v>
      </c>
      <c r="C859" s="12" t="s">
        <v>38</v>
      </c>
      <c r="D859" s="13" t="s">
        <v>2312</v>
      </c>
      <c r="E859" s="11"/>
      <c r="F859" s="12"/>
      <c r="G859" s="13" t="str">
        <f>"9781526111975"</f>
        <v>9781526111975</v>
      </c>
      <c r="H859" s="13" t="s">
        <v>1965</v>
      </c>
      <c r="I859" s="11" t="s">
        <v>2788</v>
      </c>
      <c r="J859" s="11"/>
      <c r="K859" s="11"/>
      <c r="L859" s="11"/>
      <c r="M859" s="13" t="s">
        <v>2256</v>
      </c>
      <c r="N859" s="12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3" t="s">
        <v>2766</v>
      </c>
      <c r="AB859" s="13">
        <v>791.43094099999996</v>
      </c>
      <c r="AC859" s="13" t="s">
        <v>2315</v>
      </c>
      <c r="AD859" s="13" t="s">
        <v>896</v>
      </c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</row>
    <row r="860" spans="1:40" ht="20.100000000000001" customHeight="1">
      <c r="A860" s="11">
        <v>859</v>
      </c>
      <c r="B860" s="12" t="s">
        <v>38</v>
      </c>
      <c r="C860" s="12" t="s">
        <v>38</v>
      </c>
      <c r="D860" s="13" t="s">
        <v>2312</v>
      </c>
      <c r="E860" s="11"/>
      <c r="F860" s="12"/>
      <c r="G860" s="13" t="str">
        <f>"9780813169279"</f>
        <v>9780813169279</v>
      </c>
      <c r="H860" s="13" t="s">
        <v>1966</v>
      </c>
      <c r="I860" s="11" t="s">
        <v>2792</v>
      </c>
      <c r="J860" s="11"/>
      <c r="K860" s="11"/>
      <c r="L860" s="11"/>
      <c r="M860" s="13" t="s">
        <v>2219</v>
      </c>
      <c r="N860" s="12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3" t="s">
        <v>2766</v>
      </c>
      <c r="AB860" s="13">
        <v>976.97540000000004</v>
      </c>
      <c r="AC860" s="13" t="s">
        <v>2317</v>
      </c>
      <c r="AD860" s="13" t="s">
        <v>897</v>
      </c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</row>
    <row r="861" spans="1:40" ht="20.100000000000001" customHeight="1">
      <c r="A861" s="11">
        <v>860</v>
      </c>
      <c r="B861" s="12" t="s">
        <v>38</v>
      </c>
      <c r="C861" s="12" t="s">
        <v>38</v>
      </c>
      <c r="D861" s="13" t="s">
        <v>2312</v>
      </c>
      <c r="E861" s="11"/>
      <c r="F861" s="12"/>
      <c r="G861" s="13" t="str">
        <f>"9789004334595"</f>
        <v>9789004334595</v>
      </c>
      <c r="H861" s="13" t="s">
        <v>1967</v>
      </c>
      <c r="I861" s="11" t="s">
        <v>2790</v>
      </c>
      <c r="J861" s="11"/>
      <c r="K861" s="11"/>
      <c r="L861" s="11"/>
      <c r="M861" s="13" t="s">
        <v>2184</v>
      </c>
      <c r="N861" s="12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3" t="s">
        <v>2766</v>
      </c>
      <c r="AB861" s="13"/>
      <c r="AC861" s="13" t="s">
        <v>2396</v>
      </c>
      <c r="AD861" s="13" t="s">
        <v>898</v>
      </c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</row>
    <row r="862" spans="1:40" ht="20.100000000000001" customHeight="1">
      <c r="A862" s="11">
        <v>861</v>
      </c>
      <c r="B862" s="12" t="s">
        <v>38</v>
      </c>
      <c r="C862" s="12" t="s">
        <v>38</v>
      </c>
      <c r="D862" s="13" t="s">
        <v>2312</v>
      </c>
      <c r="E862" s="11"/>
      <c r="F862" s="12"/>
      <c r="G862" s="13" t="str">
        <f>"9789004294264"</f>
        <v>9789004294264</v>
      </c>
      <c r="H862" s="13" t="s">
        <v>1968</v>
      </c>
      <c r="I862" s="11" t="s">
        <v>2776</v>
      </c>
      <c r="J862" s="11"/>
      <c r="K862" s="11"/>
      <c r="L862" s="11"/>
      <c r="M862" s="13" t="s">
        <v>2184</v>
      </c>
      <c r="N862" s="12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3" t="s">
        <v>2766</v>
      </c>
      <c r="AB862" s="13" t="s">
        <v>2741</v>
      </c>
      <c r="AC862" s="13" t="s">
        <v>2323</v>
      </c>
      <c r="AD862" s="13" t="s">
        <v>899</v>
      </c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</row>
    <row r="863" spans="1:40" ht="20.100000000000001" customHeight="1">
      <c r="A863" s="11">
        <v>862</v>
      </c>
      <c r="B863" s="12" t="s">
        <v>38</v>
      </c>
      <c r="C863" s="12" t="s">
        <v>38</v>
      </c>
      <c r="D863" s="13" t="s">
        <v>2312</v>
      </c>
      <c r="E863" s="11"/>
      <c r="F863" s="12"/>
      <c r="G863" s="13" t="str">
        <f>"9780191070792"</f>
        <v>9780191070792</v>
      </c>
      <c r="H863" s="13" t="s">
        <v>1969</v>
      </c>
      <c r="I863" s="11" t="s">
        <v>2792</v>
      </c>
      <c r="J863" s="11"/>
      <c r="K863" s="11"/>
      <c r="L863" s="11"/>
      <c r="M863" s="13" t="s">
        <v>2188</v>
      </c>
      <c r="N863" s="12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3" t="s">
        <v>2766</v>
      </c>
      <c r="AB863" s="13">
        <v>618.20000000000005</v>
      </c>
      <c r="AC863" s="13" t="s">
        <v>2328</v>
      </c>
      <c r="AD863" s="13" t="s">
        <v>900</v>
      </c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</row>
    <row r="864" spans="1:40" ht="20.100000000000001" customHeight="1">
      <c r="A864" s="11">
        <v>863</v>
      </c>
      <c r="B864" s="12" t="s">
        <v>38</v>
      </c>
      <c r="C864" s="12" t="s">
        <v>38</v>
      </c>
      <c r="D864" s="13" t="s">
        <v>2312</v>
      </c>
      <c r="E864" s="11"/>
      <c r="F864" s="12"/>
      <c r="G864" s="13" t="str">
        <f>"9781632659217"</f>
        <v>9781632659217</v>
      </c>
      <c r="H864" s="13" t="s">
        <v>1970</v>
      </c>
      <c r="I864" s="11" t="s">
        <v>2792</v>
      </c>
      <c r="J864" s="11"/>
      <c r="K864" s="11"/>
      <c r="L864" s="11"/>
      <c r="M864" s="13" t="s">
        <v>2257</v>
      </c>
      <c r="N864" s="12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3" t="s">
        <v>2766</v>
      </c>
      <c r="AB864" s="13">
        <v>378.30973</v>
      </c>
      <c r="AC864" s="13" t="s">
        <v>2349</v>
      </c>
      <c r="AD864" s="13" t="s">
        <v>901</v>
      </c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</row>
    <row r="865" spans="1:40" ht="20.100000000000001" customHeight="1">
      <c r="A865" s="11">
        <v>864</v>
      </c>
      <c r="B865" s="12" t="s">
        <v>38</v>
      </c>
      <c r="C865" s="12" t="s">
        <v>38</v>
      </c>
      <c r="D865" s="13" t="s">
        <v>2312</v>
      </c>
      <c r="E865" s="11"/>
      <c r="F865" s="12"/>
      <c r="G865" s="13" t="str">
        <f>"9781632659125"</f>
        <v>9781632659125</v>
      </c>
      <c r="H865" s="13" t="s">
        <v>1971</v>
      </c>
      <c r="I865" s="11" t="s">
        <v>2792</v>
      </c>
      <c r="J865" s="11"/>
      <c r="K865" s="11"/>
      <c r="L865" s="11"/>
      <c r="M865" s="13" t="s">
        <v>2257</v>
      </c>
      <c r="N865" s="12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3" t="s">
        <v>2766</v>
      </c>
      <c r="AB865" s="13"/>
      <c r="AC865" s="13" t="s">
        <v>2345</v>
      </c>
      <c r="AD865" s="13" t="s">
        <v>902</v>
      </c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</row>
    <row r="866" spans="1:40" ht="20.100000000000001" customHeight="1">
      <c r="A866" s="11">
        <v>865</v>
      </c>
      <c r="B866" s="12" t="s">
        <v>38</v>
      </c>
      <c r="C866" s="12" t="s">
        <v>38</v>
      </c>
      <c r="D866" s="13" t="s">
        <v>2312</v>
      </c>
      <c r="E866" s="11"/>
      <c r="F866" s="12"/>
      <c r="G866" s="13" t="str">
        <f>"9789004217614"</f>
        <v>9789004217614</v>
      </c>
      <c r="H866" s="13" t="s">
        <v>1972</v>
      </c>
      <c r="I866" s="11" t="s">
        <v>2787</v>
      </c>
      <c r="J866" s="11"/>
      <c r="K866" s="11"/>
      <c r="L866" s="11"/>
      <c r="M866" s="13" t="s">
        <v>2184</v>
      </c>
      <c r="N866" s="12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3" t="s">
        <v>2766</v>
      </c>
      <c r="AB866" s="13" t="s">
        <v>2742</v>
      </c>
      <c r="AC866" s="13" t="s">
        <v>2313</v>
      </c>
      <c r="AD866" s="13" t="s">
        <v>903</v>
      </c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</row>
    <row r="867" spans="1:40" ht="20.100000000000001" customHeight="1">
      <c r="A867" s="11">
        <v>866</v>
      </c>
      <c r="B867" s="12" t="s">
        <v>38</v>
      </c>
      <c r="C867" s="12" t="s">
        <v>38</v>
      </c>
      <c r="D867" s="13" t="s">
        <v>2312</v>
      </c>
      <c r="E867" s="11"/>
      <c r="F867" s="12"/>
      <c r="G867" s="13" t="str">
        <f>"9781626259324"</f>
        <v>9781626259324</v>
      </c>
      <c r="H867" s="13" t="s">
        <v>1973</v>
      </c>
      <c r="I867" s="11" t="s">
        <v>2793</v>
      </c>
      <c r="J867" s="11"/>
      <c r="K867" s="11"/>
      <c r="L867" s="11"/>
      <c r="M867" s="13" t="s">
        <v>2258</v>
      </c>
      <c r="N867" s="12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3" t="s">
        <v>2766</v>
      </c>
      <c r="AB867" s="13">
        <v>616.89142000000004</v>
      </c>
      <c r="AC867" s="13" t="s">
        <v>2333</v>
      </c>
      <c r="AD867" s="13" t="s">
        <v>904</v>
      </c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</row>
    <row r="868" spans="1:40" ht="20.100000000000001" customHeight="1">
      <c r="A868" s="11">
        <v>867</v>
      </c>
      <c r="B868" s="12" t="s">
        <v>38</v>
      </c>
      <c r="C868" s="12" t="s">
        <v>38</v>
      </c>
      <c r="D868" s="13" t="s">
        <v>2312</v>
      </c>
      <c r="E868" s="11"/>
      <c r="F868" s="12"/>
      <c r="G868" s="13" t="str">
        <f>"9781443874748"</f>
        <v>9781443874748</v>
      </c>
      <c r="H868" s="13" t="s">
        <v>1974</v>
      </c>
      <c r="I868" s="11" t="s">
        <v>2792</v>
      </c>
      <c r="J868" s="11"/>
      <c r="K868" s="11"/>
      <c r="L868" s="11"/>
      <c r="M868" s="13" t="s">
        <v>2259</v>
      </c>
      <c r="N868" s="12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3" t="s">
        <v>2766</v>
      </c>
      <c r="AB868" s="13">
        <v>60.880901000000001</v>
      </c>
      <c r="AC868" s="13" t="s">
        <v>2354</v>
      </c>
      <c r="AD868" s="13" t="s">
        <v>905</v>
      </c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</row>
    <row r="869" spans="1:40" ht="20.100000000000001" customHeight="1">
      <c r="A869" s="11">
        <v>868</v>
      </c>
      <c r="B869" s="12" t="s">
        <v>38</v>
      </c>
      <c r="C869" s="12" t="s">
        <v>38</v>
      </c>
      <c r="D869" s="13" t="s">
        <v>2312</v>
      </c>
      <c r="E869" s="11"/>
      <c r="F869" s="12"/>
      <c r="G869" s="13" t="str">
        <f>"9781575912097"</f>
        <v>9781575912097</v>
      </c>
      <c r="H869" s="13" t="s">
        <v>1975</v>
      </c>
      <c r="I869" s="11" t="s">
        <v>2790</v>
      </c>
      <c r="J869" s="11"/>
      <c r="K869" s="11"/>
      <c r="L869" s="11"/>
      <c r="M869" s="13" t="s">
        <v>2260</v>
      </c>
      <c r="N869" s="12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3" t="s">
        <v>2766</v>
      </c>
      <c r="AB869" s="13">
        <v>2</v>
      </c>
      <c r="AC869" s="13" t="s">
        <v>2354</v>
      </c>
      <c r="AD869" s="13" t="s">
        <v>906</v>
      </c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</row>
    <row r="870" spans="1:40" ht="20.100000000000001" customHeight="1">
      <c r="A870" s="11">
        <v>869</v>
      </c>
      <c r="B870" s="12" t="s">
        <v>38</v>
      </c>
      <c r="C870" s="12" t="s">
        <v>38</v>
      </c>
      <c r="D870" s="13" t="s">
        <v>2312</v>
      </c>
      <c r="E870" s="11"/>
      <c r="F870" s="12"/>
      <c r="G870" s="13" t="str">
        <f>"9780786491537"</f>
        <v>9780786491537</v>
      </c>
      <c r="H870" s="13" t="s">
        <v>1976</v>
      </c>
      <c r="I870" s="11" t="s">
        <v>2788</v>
      </c>
      <c r="J870" s="11"/>
      <c r="K870" s="11"/>
      <c r="L870" s="11"/>
      <c r="M870" s="13" t="s">
        <v>2187</v>
      </c>
      <c r="N870" s="12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3" t="s">
        <v>2766</v>
      </c>
      <c r="AB870" s="13" t="s">
        <v>2743</v>
      </c>
      <c r="AC870" s="13" t="s">
        <v>2478</v>
      </c>
      <c r="AD870" s="13" t="s">
        <v>907</v>
      </c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</row>
    <row r="871" spans="1:40" ht="20.100000000000001" customHeight="1">
      <c r="A871" s="11">
        <v>870</v>
      </c>
      <c r="B871" s="12" t="s">
        <v>38</v>
      </c>
      <c r="C871" s="12" t="s">
        <v>38</v>
      </c>
      <c r="D871" s="13" t="s">
        <v>2312</v>
      </c>
      <c r="E871" s="11"/>
      <c r="F871" s="12"/>
      <c r="G871" s="13" t="str">
        <f>"9781443891509"</f>
        <v>9781443891509</v>
      </c>
      <c r="H871" s="13" t="s">
        <v>1977</v>
      </c>
      <c r="I871" s="11" t="s">
        <v>2792</v>
      </c>
      <c r="J871" s="11"/>
      <c r="K871" s="11"/>
      <c r="L871" s="11"/>
      <c r="M871" s="13" t="s">
        <v>2259</v>
      </c>
      <c r="N871" s="12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3" t="s">
        <v>2766</v>
      </c>
      <c r="AB871" s="13">
        <v>398.05</v>
      </c>
      <c r="AC871" s="13" t="s">
        <v>2318</v>
      </c>
      <c r="AD871" s="13" t="s">
        <v>908</v>
      </c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</row>
    <row r="872" spans="1:40" ht="20.100000000000001" customHeight="1">
      <c r="A872" s="11">
        <v>871</v>
      </c>
      <c r="B872" s="12" t="s">
        <v>38</v>
      </c>
      <c r="C872" s="12" t="s">
        <v>38</v>
      </c>
      <c r="D872" s="13" t="s">
        <v>2312</v>
      </c>
      <c r="E872" s="11"/>
      <c r="F872" s="12"/>
      <c r="G872" s="13" t="str">
        <f>"9781563681820"</f>
        <v>9781563681820</v>
      </c>
      <c r="H872" s="13" t="s">
        <v>1978</v>
      </c>
      <c r="I872" s="11" t="s">
        <v>2772</v>
      </c>
      <c r="J872" s="11"/>
      <c r="K872" s="11"/>
      <c r="L872" s="11"/>
      <c r="M872" s="13" t="s">
        <v>2261</v>
      </c>
      <c r="N872" s="12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3" t="s">
        <v>2766</v>
      </c>
      <c r="AB872" s="13">
        <v>419.7</v>
      </c>
      <c r="AC872" s="13" t="s">
        <v>2384</v>
      </c>
      <c r="AD872" s="13" t="s">
        <v>909</v>
      </c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</row>
    <row r="873" spans="1:40" ht="20.100000000000001" customHeight="1">
      <c r="A873" s="11">
        <v>872</v>
      </c>
      <c r="B873" s="12" t="s">
        <v>38</v>
      </c>
      <c r="C873" s="12" t="s">
        <v>38</v>
      </c>
      <c r="D873" s="13" t="s">
        <v>2312</v>
      </c>
      <c r="E873" s="11"/>
      <c r="F873" s="12"/>
      <c r="G873" s="13" t="str">
        <f>"9789004343788"</f>
        <v>9789004343788</v>
      </c>
      <c r="H873" s="13" t="s">
        <v>1979</v>
      </c>
      <c r="I873" s="11" t="s">
        <v>2792</v>
      </c>
      <c r="J873" s="11"/>
      <c r="K873" s="11"/>
      <c r="L873" s="11"/>
      <c r="M873" s="13" t="s">
        <v>2262</v>
      </c>
      <c r="N873" s="12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3" t="s">
        <v>2766</v>
      </c>
      <c r="AB873" s="13"/>
      <c r="AC873" s="13" t="s">
        <v>2354</v>
      </c>
      <c r="AD873" s="13" t="s">
        <v>910</v>
      </c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</row>
    <row r="874" spans="1:40" ht="20.100000000000001" customHeight="1">
      <c r="A874" s="11">
        <v>873</v>
      </c>
      <c r="B874" s="12" t="s">
        <v>38</v>
      </c>
      <c r="C874" s="12" t="s">
        <v>38</v>
      </c>
      <c r="D874" s="13" t="s">
        <v>2312</v>
      </c>
      <c r="E874" s="11"/>
      <c r="F874" s="12"/>
      <c r="G874" s="13" t="str">
        <f>"9781846748875"</f>
        <v>9781846748875</v>
      </c>
      <c r="H874" s="13" t="s">
        <v>1980</v>
      </c>
      <c r="I874" s="11" t="s">
        <v>2773</v>
      </c>
      <c r="J874" s="11"/>
      <c r="K874" s="11"/>
      <c r="L874" s="11"/>
      <c r="M874" s="13" t="s">
        <v>2222</v>
      </c>
      <c r="N874" s="12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3" t="s">
        <v>2766</v>
      </c>
      <c r="AB874" s="13"/>
      <c r="AC874" s="13" t="s">
        <v>2317</v>
      </c>
      <c r="AD874" s="13" t="s">
        <v>911</v>
      </c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</row>
    <row r="875" spans="1:40" ht="20.100000000000001" customHeight="1">
      <c r="A875" s="11">
        <v>874</v>
      </c>
      <c r="B875" s="12" t="s">
        <v>38</v>
      </c>
      <c r="C875" s="12" t="s">
        <v>38</v>
      </c>
      <c r="D875" s="13" t="s">
        <v>2312</v>
      </c>
      <c r="E875" s="11"/>
      <c r="F875" s="12"/>
      <c r="G875" s="13" t="str">
        <f>"9781423201946"</f>
        <v>9781423201946</v>
      </c>
      <c r="H875" s="13" t="s">
        <v>1981</v>
      </c>
      <c r="I875" s="11" t="s">
        <v>2776</v>
      </c>
      <c r="J875" s="11"/>
      <c r="K875" s="11"/>
      <c r="L875" s="11"/>
      <c r="M875" s="13" t="s">
        <v>2263</v>
      </c>
      <c r="N875" s="12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3" t="s">
        <v>2766</v>
      </c>
      <c r="AB875" s="13">
        <v>421.52</v>
      </c>
      <c r="AC875" s="13" t="s">
        <v>2345</v>
      </c>
      <c r="AD875" s="13" t="s">
        <v>912</v>
      </c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</row>
    <row r="876" spans="1:40" ht="20.100000000000001" customHeight="1">
      <c r="A876" s="11">
        <v>875</v>
      </c>
      <c r="B876" s="12" t="s">
        <v>38</v>
      </c>
      <c r="C876" s="12" t="s">
        <v>38</v>
      </c>
      <c r="D876" s="13" t="s">
        <v>2312</v>
      </c>
      <c r="E876" s="11"/>
      <c r="F876" s="12"/>
      <c r="G876" s="13" t="str">
        <f>"9781760461263"</f>
        <v>9781760461263</v>
      </c>
      <c r="H876" s="13" t="s">
        <v>1861</v>
      </c>
      <c r="I876" s="11" t="s">
        <v>2792</v>
      </c>
      <c r="J876" s="11"/>
      <c r="K876" s="11"/>
      <c r="L876" s="11"/>
      <c r="M876" s="13" t="s">
        <v>2242</v>
      </c>
      <c r="N876" s="12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3" t="s">
        <v>2766</v>
      </c>
      <c r="AB876" s="13">
        <v>920.02</v>
      </c>
      <c r="AC876" s="13" t="s">
        <v>2317</v>
      </c>
      <c r="AD876" s="13" t="s">
        <v>913</v>
      </c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</row>
    <row r="877" spans="1:40" ht="20.100000000000001" customHeight="1">
      <c r="A877" s="11">
        <v>876</v>
      </c>
      <c r="B877" s="12" t="s">
        <v>38</v>
      </c>
      <c r="C877" s="12" t="s">
        <v>38</v>
      </c>
      <c r="D877" s="13" t="s">
        <v>2312</v>
      </c>
      <c r="E877" s="11"/>
      <c r="F877" s="12"/>
      <c r="G877" s="13" t="str">
        <f>"9780877797975"</f>
        <v>9780877797975</v>
      </c>
      <c r="H877" s="13" t="s">
        <v>1982</v>
      </c>
      <c r="I877" s="11" t="s">
        <v>2772</v>
      </c>
      <c r="J877" s="11"/>
      <c r="K877" s="11"/>
      <c r="L877" s="11"/>
      <c r="M877" s="13" t="s">
        <v>2264</v>
      </c>
      <c r="N877" s="12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3" t="s">
        <v>2766</v>
      </c>
      <c r="AB877" s="13">
        <v>423.1</v>
      </c>
      <c r="AC877" s="13" t="s">
        <v>2345</v>
      </c>
      <c r="AD877" s="13" t="s">
        <v>914</v>
      </c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</row>
    <row r="878" spans="1:40" ht="20.100000000000001" customHeight="1">
      <c r="A878" s="11">
        <v>877</v>
      </c>
      <c r="B878" s="12" t="s">
        <v>38</v>
      </c>
      <c r="C878" s="12" t="s">
        <v>38</v>
      </c>
      <c r="D878" s="13" t="s">
        <v>2312</v>
      </c>
      <c r="E878" s="11"/>
      <c r="F878" s="12"/>
      <c r="G878" s="13" t="str">
        <f>"9798216047568"</f>
        <v>9798216047568</v>
      </c>
      <c r="H878" s="13" t="s">
        <v>1983</v>
      </c>
      <c r="I878" s="11" t="s">
        <v>2792</v>
      </c>
      <c r="J878" s="11"/>
      <c r="K878" s="11"/>
      <c r="L878" s="11"/>
      <c r="M878" s="13" t="s">
        <v>2196</v>
      </c>
      <c r="N878" s="12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3" t="s">
        <v>2766</v>
      </c>
      <c r="AB878" s="13"/>
      <c r="AC878" s="13" t="s">
        <v>2479</v>
      </c>
      <c r="AD878" s="13" t="s">
        <v>915</v>
      </c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</row>
    <row r="879" spans="1:40" ht="20.100000000000001" customHeight="1">
      <c r="A879" s="11">
        <v>878</v>
      </c>
      <c r="B879" s="12" t="s">
        <v>38</v>
      </c>
      <c r="C879" s="12" t="s">
        <v>38</v>
      </c>
      <c r="D879" s="13" t="s">
        <v>2312</v>
      </c>
      <c r="E879" s="11"/>
      <c r="F879" s="12"/>
      <c r="G879" s="13" t="str">
        <f>"9781945612435"</f>
        <v>9781945612435</v>
      </c>
      <c r="H879" s="13" t="s">
        <v>1984</v>
      </c>
      <c r="I879" s="11" t="s">
        <v>2792</v>
      </c>
      <c r="J879" s="11"/>
      <c r="K879" s="11"/>
      <c r="L879" s="11"/>
      <c r="M879" s="13" t="s">
        <v>2265</v>
      </c>
      <c r="N879" s="12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3" t="s">
        <v>2766</v>
      </c>
      <c r="AB879" s="13">
        <v>610.28</v>
      </c>
      <c r="AC879" s="13" t="s">
        <v>2328</v>
      </c>
      <c r="AD879" s="13" t="s">
        <v>916</v>
      </c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</row>
    <row r="880" spans="1:40" ht="20.100000000000001" customHeight="1">
      <c r="A880" s="11">
        <v>879</v>
      </c>
      <c r="B880" s="12" t="s">
        <v>38</v>
      </c>
      <c r="C880" s="12" t="s">
        <v>38</v>
      </c>
      <c r="D880" s="13" t="s">
        <v>2312</v>
      </c>
      <c r="E880" s="11"/>
      <c r="F880" s="12"/>
      <c r="G880" s="13" t="str">
        <f>"9780826133052"</f>
        <v>9780826133052</v>
      </c>
      <c r="H880" s="13" t="s">
        <v>1985</v>
      </c>
      <c r="I880" s="11" t="s">
        <v>2792</v>
      </c>
      <c r="J880" s="11"/>
      <c r="K880" s="11"/>
      <c r="L880" s="11"/>
      <c r="M880" s="13" t="s">
        <v>2183</v>
      </c>
      <c r="N880" s="12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3" t="s">
        <v>2766</v>
      </c>
      <c r="AB880" s="13">
        <v>610.73072000000002</v>
      </c>
      <c r="AC880" s="13" t="s">
        <v>2426</v>
      </c>
      <c r="AD880" s="13" t="s">
        <v>917</v>
      </c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</row>
    <row r="881" spans="1:40" ht="20.100000000000001" customHeight="1">
      <c r="A881" s="11">
        <v>880</v>
      </c>
      <c r="B881" s="12" t="s">
        <v>38</v>
      </c>
      <c r="C881" s="12" t="s">
        <v>38</v>
      </c>
      <c r="D881" s="13" t="s">
        <v>2312</v>
      </c>
      <c r="E881" s="11"/>
      <c r="F881" s="12"/>
      <c r="G881" s="13" t="str">
        <f>"9780252099779"</f>
        <v>9780252099779</v>
      </c>
      <c r="H881" s="13" t="s">
        <v>1986</v>
      </c>
      <c r="I881" s="11" t="s">
        <v>2792</v>
      </c>
      <c r="J881" s="11"/>
      <c r="K881" s="11"/>
      <c r="L881" s="11"/>
      <c r="M881" s="13" t="s">
        <v>2240</v>
      </c>
      <c r="N881" s="12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3" t="s">
        <v>2766</v>
      </c>
      <c r="AB881" s="13"/>
      <c r="AC881" s="13" t="s">
        <v>2480</v>
      </c>
      <c r="AD881" s="13" t="s">
        <v>918</v>
      </c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</row>
    <row r="882" spans="1:40" ht="20.100000000000001" customHeight="1">
      <c r="A882" s="11">
        <v>881</v>
      </c>
      <c r="B882" s="12" t="s">
        <v>38</v>
      </c>
      <c r="C882" s="12" t="s">
        <v>38</v>
      </c>
      <c r="D882" s="13" t="s">
        <v>2312</v>
      </c>
      <c r="E882" s="11"/>
      <c r="F882" s="12"/>
      <c r="G882" s="13" t="str">
        <f>"9789004334625"</f>
        <v>9789004334625</v>
      </c>
      <c r="H882" s="13" t="s">
        <v>1987</v>
      </c>
      <c r="I882" s="11" t="s">
        <v>2792</v>
      </c>
      <c r="J882" s="11"/>
      <c r="K882" s="11"/>
      <c r="L882" s="11"/>
      <c r="M882" s="13" t="s">
        <v>2184</v>
      </c>
      <c r="N882" s="12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3" t="s">
        <v>2766</v>
      </c>
      <c r="AB882" s="13" t="s">
        <v>2740</v>
      </c>
      <c r="AC882" s="13" t="s">
        <v>2313</v>
      </c>
      <c r="AD882" s="13" t="s">
        <v>919</v>
      </c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</row>
    <row r="883" spans="1:40" ht="20.100000000000001" customHeight="1">
      <c r="A883" s="11">
        <v>882</v>
      </c>
      <c r="B883" s="12" t="s">
        <v>38</v>
      </c>
      <c r="C883" s="12" t="s">
        <v>38</v>
      </c>
      <c r="D883" s="13" t="s">
        <v>2312</v>
      </c>
      <c r="E883" s="11"/>
      <c r="F883" s="12"/>
      <c r="G883" s="13" t="str">
        <f>"9798216081470"</f>
        <v>9798216081470</v>
      </c>
      <c r="H883" s="13" t="s">
        <v>1988</v>
      </c>
      <c r="I883" s="11" t="s">
        <v>2792</v>
      </c>
      <c r="J883" s="11"/>
      <c r="K883" s="11"/>
      <c r="L883" s="11"/>
      <c r="M883" s="13" t="s">
        <v>2196</v>
      </c>
      <c r="N883" s="12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3" t="s">
        <v>2766</v>
      </c>
      <c r="AB883" s="13">
        <v>395.03</v>
      </c>
      <c r="AC883" s="13" t="s">
        <v>2481</v>
      </c>
      <c r="AD883" s="13" t="s">
        <v>920</v>
      </c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</row>
    <row r="884" spans="1:40" ht="20.100000000000001" customHeight="1">
      <c r="A884" s="11">
        <v>883</v>
      </c>
      <c r="B884" s="12" t="s">
        <v>38</v>
      </c>
      <c r="C884" s="12" t="s">
        <v>38</v>
      </c>
      <c r="D884" s="13" t="s">
        <v>2312</v>
      </c>
      <c r="E884" s="11"/>
      <c r="F884" s="12"/>
      <c r="G884" s="13" t="str">
        <f>"9781631579172"</f>
        <v>9781631579172</v>
      </c>
      <c r="H884" s="13" t="s">
        <v>1989</v>
      </c>
      <c r="I884" s="11" t="s">
        <v>2792</v>
      </c>
      <c r="J884" s="11"/>
      <c r="K884" s="11"/>
      <c r="L884" s="11"/>
      <c r="M884" s="13" t="s">
        <v>2255</v>
      </c>
      <c r="N884" s="12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3" t="s">
        <v>2766</v>
      </c>
      <c r="AB884" s="13">
        <v>344.40100000000001</v>
      </c>
      <c r="AC884" s="13" t="s">
        <v>2334</v>
      </c>
      <c r="AD884" s="13" t="s">
        <v>921</v>
      </c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</row>
    <row r="885" spans="1:40" ht="20.100000000000001" customHeight="1">
      <c r="A885" s="11">
        <v>884</v>
      </c>
      <c r="B885" s="12" t="s">
        <v>38</v>
      </c>
      <c r="C885" s="12" t="s">
        <v>38</v>
      </c>
      <c r="D885" s="13" t="s">
        <v>2312</v>
      </c>
      <c r="E885" s="11"/>
      <c r="F885" s="12"/>
      <c r="G885" s="13" t="str">
        <f>"9789004356894"</f>
        <v>9789004356894</v>
      </c>
      <c r="H885" s="13" t="s">
        <v>1990</v>
      </c>
      <c r="I885" s="11" t="s">
        <v>2792</v>
      </c>
      <c r="J885" s="11"/>
      <c r="K885" s="11"/>
      <c r="L885" s="11"/>
      <c r="M885" s="13" t="s">
        <v>2184</v>
      </c>
      <c r="N885" s="12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3" t="s">
        <v>2766</v>
      </c>
      <c r="AB885" s="13"/>
      <c r="AC885" s="13" t="s">
        <v>2318</v>
      </c>
      <c r="AD885" s="13" t="s">
        <v>922</v>
      </c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</row>
    <row r="886" spans="1:40" ht="20.100000000000001" customHeight="1">
      <c r="A886" s="11">
        <v>885</v>
      </c>
      <c r="B886" s="12" t="s">
        <v>38</v>
      </c>
      <c r="C886" s="12" t="s">
        <v>38</v>
      </c>
      <c r="D886" s="13" t="s">
        <v>2312</v>
      </c>
      <c r="E886" s="11"/>
      <c r="F886" s="12"/>
      <c r="G886" s="13" t="str">
        <f>"9780838915226"</f>
        <v>9780838915226</v>
      </c>
      <c r="H886" s="13" t="s">
        <v>1991</v>
      </c>
      <c r="I886" s="11" t="s">
        <v>2790</v>
      </c>
      <c r="J886" s="11"/>
      <c r="K886" s="11"/>
      <c r="L886" s="11"/>
      <c r="M886" s="13" t="s">
        <v>2208</v>
      </c>
      <c r="N886" s="12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3" t="s">
        <v>2766</v>
      </c>
      <c r="AB886" s="13">
        <v>21.70973</v>
      </c>
      <c r="AC886" s="13" t="s">
        <v>2432</v>
      </c>
      <c r="AD886" s="13" t="s">
        <v>923</v>
      </c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</row>
    <row r="887" spans="1:40" ht="20.100000000000001" customHeight="1">
      <c r="A887" s="11">
        <v>886</v>
      </c>
      <c r="B887" s="12" t="s">
        <v>38</v>
      </c>
      <c r="C887" s="12" t="s">
        <v>38</v>
      </c>
      <c r="D887" s="13" t="s">
        <v>2312</v>
      </c>
      <c r="E887" s="11"/>
      <c r="F887" s="12"/>
      <c r="G887" s="13" t="str">
        <f>"9781945612473"</f>
        <v>9781945612473</v>
      </c>
      <c r="H887" s="13" t="s">
        <v>1992</v>
      </c>
      <c r="I887" s="11" t="s">
        <v>2792</v>
      </c>
      <c r="J887" s="11"/>
      <c r="K887" s="11"/>
      <c r="L887" s="11"/>
      <c r="M887" s="13" t="s">
        <v>2265</v>
      </c>
      <c r="N887" s="12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3" t="s">
        <v>2766</v>
      </c>
      <c r="AB887" s="13"/>
      <c r="AC887" s="13" t="s">
        <v>2345</v>
      </c>
      <c r="AD887" s="13" t="s">
        <v>924</v>
      </c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</row>
    <row r="888" spans="1:40" ht="20.100000000000001" customHeight="1">
      <c r="A888" s="11">
        <v>887</v>
      </c>
      <c r="B888" s="12" t="s">
        <v>38</v>
      </c>
      <c r="C888" s="12" t="s">
        <v>38</v>
      </c>
      <c r="D888" s="13" t="s">
        <v>2312</v>
      </c>
      <c r="E888" s="11"/>
      <c r="F888" s="12"/>
      <c r="G888" s="13" t="str">
        <f>"9781631578489"</f>
        <v>9781631578489</v>
      </c>
      <c r="H888" s="13" t="s">
        <v>1993</v>
      </c>
      <c r="I888" s="11" t="s">
        <v>2792</v>
      </c>
      <c r="J888" s="11"/>
      <c r="K888" s="11"/>
      <c r="L888" s="11"/>
      <c r="M888" s="13" t="s">
        <v>2255</v>
      </c>
      <c r="N888" s="12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3" t="s">
        <v>2766</v>
      </c>
      <c r="AB888" s="13">
        <v>332.10687999999902</v>
      </c>
      <c r="AC888" s="13" t="s">
        <v>2419</v>
      </c>
      <c r="AD888" s="13" t="s">
        <v>925</v>
      </c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</row>
    <row r="889" spans="1:40" ht="20.100000000000001" customHeight="1">
      <c r="A889" s="11">
        <v>888</v>
      </c>
      <c r="B889" s="12" t="s">
        <v>38</v>
      </c>
      <c r="C889" s="12" t="s">
        <v>38</v>
      </c>
      <c r="D889" s="13" t="s">
        <v>2312</v>
      </c>
      <c r="E889" s="11"/>
      <c r="F889" s="12"/>
      <c r="G889" s="13" t="str">
        <f>"9780826132444"</f>
        <v>9780826132444</v>
      </c>
      <c r="H889" s="13" t="s">
        <v>1994</v>
      </c>
      <c r="I889" s="11" t="s">
        <v>2792</v>
      </c>
      <c r="J889" s="11"/>
      <c r="K889" s="11"/>
      <c r="L889" s="11"/>
      <c r="M889" s="13" t="s">
        <v>2183</v>
      </c>
      <c r="N889" s="12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3" t="s">
        <v>2766</v>
      </c>
      <c r="AB889" s="13">
        <v>610.73</v>
      </c>
      <c r="AC889" s="13" t="s">
        <v>2426</v>
      </c>
      <c r="AD889" s="13" t="s">
        <v>926</v>
      </c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</row>
    <row r="890" spans="1:40" ht="20.100000000000001" customHeight="1">
      <c r="A890" s="11">
        <v>889</v>
      </c>
      <c r="B890" s="12" t="s">
        <v>38</v>
      </c>
      <c r="C890" s="12" t="s">
        <v>38</v>
      </c>
      <c r="D890" s="13" t="s">
        <v>2312</v>
      </c>
      <c r="E890" s="11"/>
      <c r="F890" s="12"/>
      <c r="G890" s="13" t="str">
        <f>"9780826140531"</f>
        <v>9780826140531</v>
      </c>
      <c r="H890" s="13" t="s">
        <v>1995</v>
      </c>
      <c r="I890" s="11" t="s">
        <v>2792</v>
      </c>
      <c r="J890" s="11"/>
      <c r="K890" s="11"/>
      <c r="L890" s="11"/>
      <c r="M890" s="13" t="s">
        <v>2183</v>
      </c>
      <c r="N890" s="12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3" t="s">
        <v>2766</v>
      </c>
      <c r="AB890" s="13">
        <v>362.60973030000002</v>
      </c>
      <c r="AC890" s="13" t="s">
        <v>2318</v>
      </c>
      <c r="AD890" s="13" t="s">
        <v>927</v>
      </c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</row>
    <row r="891" spans="1:40" ht="20.100000000000001" customHeight="1">
      <c r="A891" s="11">
        <v>890</v>
      </c>
      <c r="B891" s="12" t="s">
        <v>38</v>
      </c>
      <c r="C891" s="12" t="s">
        <v>38</v>
      </c>
      <c r="D891" s="13" t="s">
        <v>2312</v>
      </c>
      <c r="E891" s="11"/>
      <c r="F891" s="12"/>
      <c r="G891" s="13" t="str">
        <f>"9789004356443"</f>
        <v>9789004356443</v>
      </c>
      <c r="H891" s="13" t="s">
        <v>1996</v>
      </c>
      <c r="I891" s="11" t="s">
        <v>2792</v>
      </c>
      <c r="J891" s="11"/>
      <c r="K891" s="11"/>
      <c r="L891" s="11"/>
      <c r="M891" s="13" t="s">
        <v>2184</v>
      </c>
      <c r="N891" s="12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3" t="s">
        <v>2766</v>
      </c>
      <c r="AB891" s="13" t="s">
        <v>2740</v>
      </c>
      <c r="AC891" s="13" t="s">
        <v>2313</v>
      </c>
      <c r="AD891" s="13" t="s">
        <v>928</v>
      </c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</row>
    <row r="892" spans="1:40" ht="20.100000000000001" customHeight="1">
      <c r="A892" s="11">
        <v>891</v>
      </c>
      <c r="B892" s="12" t="s">
        <v>38</v>
      </c>
      <c r="C892" s="12" t="s">
        <v>38</v>
      </c>
      <c r="D892" s="13" t="s">
        <v>2312</v>
      </c>
      <c r="E892" s="11"/>
      <c r="F892" s="12"/>
      <c r="G892" s="13" t="str">
        <f>"9781945612831"</f>
        <v>9781945612831</v>
      </c>
      <c r="H892" s="13" t="s">
        <v>1997</v>
      </c>
      <c r="I892" s="11" t="s">
        <v>2792</v>
      </c>
      <c r="J892" s="11"/>
      <c r="K892" s="11"/>
      <c r="L892" s="11"/>
      <c r="M892" s="13" t="s">
        <v>2265</v>
      </c>
      <c r="N892" s="12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3" t="s">
        <v>2766</v>
      </c>
      <c r="AB892" s="13"/>
      <c r="AC892" s="13" t="s">
        <v>2345</v>
      </c>
      <c r="AD892" s="13" t="s">
        <v>929</v>
      </c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</row>
    <row r="893" spans="1:40" ht="20.100000000000001" customHeight="1">
      <c r="A893" s="11">
        <v>892</v>
      </c>
      <c r="B893" s="12" t="s">
        <v>38</v>
      </c>
      <c r="C893" s="12" t="s">
        <v>38</v>
      </c>
      <c r="D893" s="13" t="s">
        <v>2312</v>
      </c>
      <c r="E893" s="11"/>
      <c r="F893" s="12"/>
      <c r="G893" s="13" t="str">
        <f>"9781631595431"</f>
        <v>9781631595431</v>
      </c>
      <c r="H893" s="13" t="s">
        <v>1998</v>
      </c>
      <c r="I893" s="11" t="s">
        <v>2792</v>
      </c>
      <c r="J893" s="11"/>
      <c r="K893" s="11"/>
      <c r="L893" s="11"/>
      <c r="M893" s="13" t="s">
        <v>2239</v>
      </c>
      <c r="N893" s="12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3" t="s">
        <v>2766</v>
      </c>
      <c r="AB893" s="13">
        <v>703</v>
      </c>
      <c r="AC893" s="13" t="s">
        <v>2315</v>
      </c>
      <c r="AD893" s="13" t="s">
        <v>930</v>
      </c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</row>
    <row r="894" spans="1:40" ht="20.100000000000001" customHeight="1">
      <c r="A894" s="11">
        <v>893</v>
      </c>
      <c r="B894" s="12" t="s">
        <v>38</v>
      </c>
      <c r="C894" s="12" t="s">
        <v>38</v>
      </c>
      <c r="D894" s="13" t="s">
        <v>2312</v>
      </c>
      <c r="E894" s="11"/>
      <c r="F894" s="12"/>
      <c r="G894" s="13" t="str">
        <f>"9781496337184"</f>
        <v>9781496337184</v>
      </c>
      <c r="H894" s="13" t="s">
        <v>1999</v>
      </c>
      <c r="I894" s="11" t="s">
        <v>2790</v>
      </c>
      <c r="J894" s="11"/>
      <c r="K894" s="11"/>
      <c r="L894" s="11"/>
      <c r="M894" s="13" t="s">
        <v>2266</v>
      </c>
      <c r="N894" s="12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3" t="s">
        <v>2766</v>
      </c>
      <c r="AB894" s="13">
        <v>617.71</v>
      </c>
      <c r="AC894" s="13" t="s">
        <v>2328</v>
      </c>
      <c r="AD894" s="13" t="s">
        <v>931</v>
      </c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</row>
    <row r="895" spans="1:40" ht="20.100000000000001" customHeight="1">
      <c r="A895" s="11">
        <v>894</v>
      </c>
      <c r="B895" s="12" t="s">
        <v>38</v>
      </c>
      <c r="C895" s="12" t="s">
        <v>38</v>
      </c>
      <c r="D895" s="13" t="s">
        <v>2312</v>
      </c>
      <c r="E895" s="11"/>
      <c r="F895" s="12"/>
      <c r="G895" s="13" t="str">
        <f>"9781625110466"</f>
        <v>9781625110466</v>
      </c>
      <c r="H895" s="13" t="s">
        <v>2000</v>
      </c>
      <c r="I895" s="11" t="s">
        <v>2792</v>
      </c>
      <c r="J895" s="11"/>
      <c r="K895" s="11"/>
      <c r="L895" s="11"/>
      <c r="M895" s="13" t="s">
        <v>2253</v>
      </c>
      <c r="N895" s="12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3" t="s">
        <v>2766</v>
      </c>
      <c r="AB895" s="13">
        <v>976.4</v>
      </c>
      <c r="AC895" s="13" t="s">
        <v>2476</v>
      </c>
      <c r="AD895" s="13" t="s">
        <v>932</v>
      </c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</row>
    <row r="896" spans="1:40" ht="20.100000000000001" customHeight="1">
      <c r="A896" s="11">
        <v>895</v>
      </c>
      <c r="B896" s="12" t="s">
        <v>38</v>
      </c>
      <c r="C896" s="12" t="s">
        <v>38</v>
      </c>
      <c r="D896" s="13" t="s">
        <v>2312</v>
      </c>
      <c r="E896" s="11"/>
      <c r="F896" s="12"/>
      <c r="G896" s="13" t="str">
        <f>"9781523096671"</f>
        <v>9781523096671</v>
      </c>
      <c r="H896" s="13" t="s">
        <v>2001</v>
      </c>
      <c r="I896" s="11" t="s">
        <v>2786</v>
      </c>
      <c r="J896" s="11"/>
      <c r="K896" s="11"/>
      <c r="L896" s="11"/>
      <c r="M896" s="13" t="s">
        <v>2267</v>
      </c>
      <c r="N896" s="12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3" t="s">
        <v>2766</v>
      </c>
      <c r="AB896" s="13"/>
      <c r="AC896" s="13" t="s">
        <v>2482</v>
      </c>
      <c r="AD896" s="13" t="s">
        <v>933</v>
      </c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</row>
    <row r="897" spans="1:40" ht="20.100000000000001" customHeight="1">
      <c r="A897" s="11">
        <v>896</v>
      </c>
      <c r="B897" s="12" t="s">
        <v>38</v>
      </c>
      <c r="C897" s="12" t="s">
        <v>38</v>
      </c>
      <c r="D897" s="13" t="s">
        <v>2312</v>
      </c>
      <c r="E897" s="11"/>
      <c r="F897" s="12"/>
      <c r="G897" s="13" t="str">
        <f>"9781951058616"</f>
        <v>9781951058616</v>
      </c>
      <c r="H897" s="13" t="s">
        <v>2002</v>
      </c>
      <c r="I897" s="11" t="s">
        <v>2788</v>
      </c>
      <c r="J897" s="11"/>
      <c r="K897" s="11"/>
      <c r="L897" s="11"/>
      <c r="M897" s="13" t="s">
        <v>2268</v>
      </c>
      <c r="N897" s="12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3" t="s">
        <v>2766</v>
      </c>
      <c r="AB897" s="13">
        <v>658.5</v>
      </c>
      <c r="AC897" s="13" t="s">
        <v>2314</v>
      </c>
      <c r="AD897" s="13" t="s">
        <v>934</v>
      </c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</row>
    <row r="898" spans="1:40" ht="20.100000000000001" customHeight="1">
      <c r="A898" s="11">
        <v>897</v>
      </c>
      <c r="B898" s="12" t="s">
        <v>38</v>
      </c>
      <c r="C898" s="12" t="s">
        <v>38</v>
      </c>
      <c r="D898" s="13" t="s">
        <v>2312</v>
      </c>
      <c r="E898" s="11"/>
      <c r="F898" s="12"/>
      <c r="G898" s="13" t="str">
        <f>"9780520965560"</f>
        <v>9780520965560</v>
      </c>
      <c r="H898" s="13" t="s">
        <v>2003</v>
      </c>
      <c r="I898" s="11" t="s">
        <v>2793</v>
      </c>
      <c r="J898" s="11"/>
      <c r="K898" s="11"/>
      <c r="L898" s="11"/>
      <c r="M898" s="13" t="s">
        <v>2211</v>
      </c>
      <c r="N898" s="12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3" t="s">
        <v>2766</v>
      </c>
      <c r="AB898" s="13">
        <v>615.32109509999998</v>
      </c>
      <c r="AC898" s="13" t="s">
        <v>2352</v>
      </c>
      <c r="AD898" s="13" t="s">
        <v>935</v>
      </c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</row>
    <row r="899" spans="1:40" ht="20.100000000000001" customHeight="1">
      <c r="A899" s="11">
        <v>898</v>
      </c>
      <c r="B899" s="12" t="s">
        <v>38</v>
      </c>
      <c r="C899" s="12" t="s">
        <v>38</v>
      </c>
      <c r="D899" s="13" t="s">
        <v>2312</v>
      </c>
      <c r="E899" s="11"/>
      <c r="F899" s="12"/>
      <c r="G899" s="13" t="str">
        <f>"9781609175665"</f>
        <v>9781609175665</v>
      </c>
      <c r="H899" s="13" t="s">
        <v>2004</v>
      </c>
      <c r="I899" s="11" t="s">
        <v>2793</v>
      </c>
      <c r="J899" s="11"/>
      <c r="K899" s="11"/>
      <c r="L899" s="11"/>
      <c r="M899" s="13" t="s">
        <v>2269</v>
      </c>
      <c r="N899" s="12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3" t="s">
        <v>2766</v>
      </c>
      <c r="AB899" s="13"/>
      <c r="AC899" s="13" t="s">
        <v>2483</v>
      </c>
      <c r="AD899" s="13" t="s">
        <v>936</v>
      </c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</row>
    <row r="900" spans="1:40" ht="20.100000000000001" customHeight="1">
      <c r="A900" s="11">
        <v>899</v>
      </c>
      <c r="B900" s="12" t="s">
        <v>38</v>
      </c>
      <c r="C900" s="12" t="s">
        <v>38</v>
      </c>
      <c r="D900" s="13" t="s">
        <v>2312</v>
      </c>
      <c r="E900" s="11"/>
      <c r="F900" s="12"/>
      <c r="G900" s="13" t="str">
        <f>"9798216140542"</f>
        <v>9798216140542</v>
      </c>
      <c r="H900" s="13" t="s">
        <v>2005</v>
      </c>
      <c r="I900" s="11" t="s">
        <v>2793</v>
      </c>
      <c r="J900" s="11"/>
      <c r="K900" s="11"/>
      <c r="L900" s="11"/>
      <c r="M900" s="13" t="s">
        <v>2196</v>
      </c>
      <c r="N900" s="12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3" t="s">
        <v>2766</v>
      </c>
      <c r="AB900" s="13" t="s">
        <v>2744</v>
      </c>
      <c r="AC900" s="13" t="s">
        <v>2317</v>
      </c>
      <c r="AD900" s="13" t="s">
        <v>937</v>
      </c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</row>
    <row r="901" spans="1:40" ht="20.100000000000001" customHeight="1">
      <c r="A901" s="11">
        <v>900</v>
      </c>
      <c r="B901" s="12" t="s">
        <v>38</v>
      </c>
      <c r="C901" s="12" t="s">
        <v>38</v>
      </c>
      <c r="D901" s="13" t="s">
        <v>2312</v>
      </c>
      <c r="E901" s="11"/>
      <c r="F901" s="12"/>
      <c r="G901" s="13" t="str">
        <f>"9798216041009"</f>
        <v>9798216041009</v>
      </c>
      <c r="H901" s="13" t="s">
        <v>2006</v>
      </c>
      <c r="I901" s="11" t="s">
        <v>2793</v>
      </c>
      <c r="J901" s="11"/>
      <c r="K901" s="11"/>
      <c r="L901" s="11"/>
      <c r="M901" s="13" t="s">
        <v>2196</v>
      </c>
      <c r="N901" s="12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3" t="s">
        <v>2766</v>
      </c>
      <c r="AB901" s="13">
        <v>973.92</v>
      </c>
      <c r="AC901" s="13" t="s">
        <v>2317</v>
      </c>
      <c r="AD901" s="13" t="s">
        <v>938</v>
      </c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</row>
    <row r="902" spans="1:40" ht="20.100000000000001" customHeight="1">
      <c r="A902" s="11">
        <v>901</v>
      </c>
      <c r="B902" s="12" t="s">
        <v>38</v>
      </c>
      <c r="C902" s="12" t="s">
        <v>38</v>
      </c>
      <c r="D902" s="13" t="s">
        <v>2312</v>
      </c>
      <c r="E902" s="11"/>
      <c r="F902" s="12"/>
      <c r="G902" s="13" t="str">
        <f>"9781682178355"</f>
        <v>9781682178355</v>
      </c>
      <c r="H902" s="13" t="s">
        <v>2007</v>
      </c>
      <c r="I902" s="11" t="s">
        <v>2793</v>
      </c>
      <c r="J902" s="11"/>
      <c r="K902" s="11"/>
      <c r="L902" s="11"/>
      <c r="M902" s="13" t="s">
        <v>2270</v>
      </c>
      <c r="N902" s="12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3" t="s">
        <v>2766</v>
      </c>
      <c r="AB902" s="13">
        <v>332.04150971050001</v>
      </c>
      <c r="AC902" s="13" t="s">
        <v>2419</v>
      </c>
      <c r="AD902" s="13" t="s">
        <v>939</v>
      </c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</row>
    <row r="903" spans="1:40" ht="20.100000000000001" customHeight="1">
      <c r="A903" s="11">
        <v>902</v>
      </c>
      <c r="B903" s="12" t="s">
        <v>38</v>
      </c>
      <c r="C903" s="12" t="s">
        <v>38</v>
      </c>
      <c r="D903" s="13" t="s">
        <v>2312</v>
      </c>
      <c r="E903" s="11"/>
      <c r="F903" s="12"/>
      <c r="G903" s="13" t="str">
        <f>"9781501822520"</f>
        <v>9781501822520</v>
      </c>
      <c r="H903" s="13" t="s">
        <v>2008</v>
      </c>
      <c r="I903" s="11" t="s">
        <v>2793</v>
      </c>
      <c r="J903" s="11"/>
      <c r="K903" s="11"/>
      <c r="L903" s="11"/>
      <c r="M903" s="13" t="s">
        <v>2271</v>
      </c>
      <c r="N903" s="12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3" t="s">
        <v>2766</v>
      </c>
      <c r="AB903" s="13">
        <v>200.97300000000001</v>
      </c>
      <c r="AC903" s="13" t="s">
        <v>2323</v>
      </c>
      <c r="AD903" s="13" t="s">
        <v>940</v>
      </c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</row>
    <row r="904" spans="1:40" ht="20.100000000000001" customHeight="1">
      <c r="A904" s="11">
        <v>903</v>
      </c>
      <c r="B904" s="12" t="s">
        <v>38</v>
      </c>
      <c r="C904" s="12" t="s">
        <v>38</v>
      </c>
      <c r="D904" s="13" t="s">
        <v>2312</v>
      </c>
      <c r="E904" s="11"/>
      <c r="F904" s="12"/>
      <c r="G904" s="13" t="str">
        <f>"9781760462192"</f>
        <v>9781760462192</v>
      </c>
      <c r="H904" s="13" t="s">
        <v>1861</v>
      </c>
      <c r="I904" s="11" t="s">
        <v>2793</v>
      </c>
      <c r="J904" s="11"/>
      <c r="K904" s="11"/>
      <c r="L904" s="11"/>
      <c r="M904" s="13" t="s">
        <v>2242</v>
      </c>
      <c r="N904" s="12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3" t="s">
        <v>2766</v>
      </c>
      <c r="AB904" s="13">
        <v>920.02</v>
      </c>
      <c r="AC904" s="13" t="s">
        <v>2317</v>
      </c>
      <c r="AD904" s="13" t="s">
        <v>941</v>
      </c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</row>
    <row r="905" spans="1:40" ht="20.100000000000001" customHeight="1">
      <c r="A905" s="11">
        <v>904</v>
      </c>
      <c r="B905" s="12" t="s">
        <v>38</v>
      </c>
      <c r="C905" s="12" t="s">
        <v>38</v>
      </c>
      <c r="D905" s="13" t="s">
        <v>2312</v>
      </c>
      <c r="E905" s="11"/>
      <c r="F905" s="12"/>
      <c r="G905" s="13" t="str">
        <f>"9781787563872"</f>
        <v>9781787563872</v>
      </c>
      <c r="H905" s="13" t="s">
        <v>2009</v>
      </c>
      <c r="I905" s="11" t="s">
        <v>2793</v>
      </c>
      <c r="J905" s="11"/>
      <c r="K905" s="11"/>
      <c r="L905" s="11"/>
      <c r="M905" s="13" t="s">
        <v>2178</v>
      </c>
      <c r="N905" s="12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3" t="s">
        <v>2766</v>
      </c>
      <c r="AB905" s="13">
        <v>378</v>
      </c>
      <c r="AC905" s="13" t="s">
        <v>2349</v>
      </c>
      <c r="AD905" s="13" t="s">
        <v>942</v>
      </c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</row>
    <row r="906" spans="1:40" ht="20.100000000000001" customHeight="1">
      <c r="A906" s="11">
        <v>905</v>
      </c>
      <c r="B906" s="12" t="s">
        <v>38</v>
      </c>
      <c r="C906" s="12" t="s">
        <v>38</v>
      </c>
      <c r="D906" s="13" t="s">
        <v>2312</v>
      </c>
      <c r="E906" s="11"/>
      <c r="F906" s="12"/>
      <c r="G906" s="13" t="str">
        <f>"9781527514614"</f>
        <v>9781527514614</v>
      </c>
      <c r="H906" s="13" t="s">
        <v>2010</v>
      </c>
      <c r="I906" s="11" t="s">
        <v>2793</v>
      </c>
      <c r="J906" s="11"/>
      <c r="K906" s="11"/>
      <c r="L906" s="11"/>
      <c r="M906" s="13" t="s">
        <v>2259</v>
      </c>
      <c r="N906" s="12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3" t="s">
        <v>2766</v>
      </c>
      <c r="AB906" s="13" t="s">
        <v>2587</v>
      </c>
      <c r="AC906" s="13" t="s">
        <v>2318</v>
      </c>
      <c r="AD906" s="13" t="s">
        <v>943</v>
      </c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</row>
    <row r="907" spans="1:40" ht="20.100000000000001" customHeight="1">
      <c r="A907" s="11">
        <v>906</v>
      </c>
      <c r="B907" s="12" t="s">
        <v>38</v>
      </c>
      <c r="C907" s="12" t="s">
        <v>38</v>
      </c>
      <c r="D907" s="13" t="s">
        <v>2312</v>
      </c>
      <c r="E907" s="11"/>
      <c r="F907" s="12"/>
      <c r="G907" s="13" t="str">
        <f>"9781423237181"</f>
        <v>9781423237181</v>
      </c>
      <c r="H907" s="13" t="s">
        <v>2011</v>
      </c>
      <c r="I907" s="11" t="s">
        <v>2792</v>
      </c>
      <c r="J907" s="11"/>
      <c r="K907" s="11"/>
      <c r="L907" s="11"/>
      <c r="M907" s="13" t="s">
        <v>2263</v>
      </c>
      <c r="N907" s="12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3" t="s">
        <v>2766</v>
      </c>
      <c r="AB907" s="13">
        <v>478.24209999999999</v>
      </c>
      <c r="AC907" s="13" t="s">
        <v>2345</v>
      </c>
      <c r="AD907" s="13" t="s">
        <v>944</v>
      </c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</row>
    <row r="908" spans="1:40" ht="20.100000000000001" customHeight="1">
      <c r="A908" s="11">
        <v>907</v>
      </c>
      <c r="B908" s="12" t="s">
        <v>38</v>
      </c>
      <c r="C908" s="12" t="s">
        <v>38</v>
      </c>
      <c r="D908" s="13" t="s">
        <v>2312</v>
      </c>
      <c r="E908" s="11"/>
      <c r="F908" s="12"/>
      <c r="G908" s="13" t="str">
        <f>"9781626238947"</f>
        <v>9781626238947</v>
      </c>
      <c r="H908" s="13" t="s">
        <v>2012</v>
      </c>
      <c r="I908" s="11" t="s">
        <v>2793</v>
      </c>
      <c r="J908" s="11"/>
      <c r="K908" s="11"/>
      <c r="L908" s="11"/>
      <c r="M908" s="13" t="s">
        <v>2272</v>
      </c>
      <c r="N908" s="12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3" t="s">
        <v>2766</v>
      </c>
      <c r="AB908" s="13"/>
      <c r="AC908" s="13" t="s">
        <v>2328</v>
      </c>
      <c r="AD908" s="13" t="s">
        <v>945</v>
      </c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</row>
    <row r="909" spans="1:40" ht="20.100000000000001" customHeight="1">
      <c r="A909" s="11">
        <v>908</v>
      </c>
      <c r="B909" s="12" t="s">
        <v>38</v>
      </c>
      <c r="C909" s="12" t="s">
        <v>38</v>
      </c>
      <c r="D909" s="13" t="s">
        <v>2312</v>
      </c>
      <c r="E909" s="11"/>
      <c r="F909" s="12"/>
      <c r="G909" s="13" t="str">
        <f>"9781787146112"</f>
        <v>9781787146112</v>
      </c>
      <c r="H909" s="13" t="s">
        <v>2013</v>
      </c>
      <c r="I909" s="11" t="s">
        <v>2793</v>
      </c>
      <c r="J909" s="11"/>
      <c r="K909" s="11"/>
      <c r="L909" s="11"/>
      <c r="M909" s="13" t="s">
        <v>2178</v>
      </c>
      <c r="N909" s="12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3" t="s">
        <v>2766</v>
      </c>
      <c r="AB909" s="13">
        <v>301</v>
      </c>
      <c r="AC909" s="13" t="s">
        <v>2318</v>
      </c>
      <c r="AD909" s="13" t="s">
        <v>946</v>
      </c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</row>
    <row r="910" spans="1:40" ht="20.100000000000001" customHeight="1">
      <c r="A910" s="11">
        <v>909</v>
      </c>
      <c r="B910" s="12" t="s">
        <v>38</v>
      </c>
      <c r="C910" s="12" t="s">
        <v>38</v>
      </c>
      <c r="D910" s="13" t="s">
        <v>2312</v>
      </c>
      <c r="E910" s="11"/>
      <c r="F910" s="12"/>
      <c r="G910" s="13" t="str">
        <f>"9781760462079"</f>
        <v>9781760462079</v>
      </c>
      <c r="H910" s="13" t="s">
        <v>2014</v>
      </c>
      <c r="I910" s="11" t="s">
        <v>2793</v>
      </c>
      <c r="J910" s="11"/>
      <c r="K910" s="11"/>
      <c r="L910" s="11"/>
      <c r="M910" s="13" t="s">
        <v>2242</v>
      </c>
      <c r="N910" s="12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3" t="s">
        <v>2766</v>
      </c>
      <c r="AB910" s="13">
        <v>433.21</v>
      </c>
      <c r="AC910" s="13" t="s">
        <v>2345</v>
      </c>
      <c r="AD910" s="13" t="s">
        <v>947</v>
      </c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</row>
    <row r="911" spans="1:40" ht="20.100000000000001" customHeight="1">
      <c r="A911" s="11">
        <v>910</v>
      </c>
      <c r="B911" s="12" t="s">
        <v>38</v>
      </c>
      <c r="C911" s="12" t="s">
        <v>38</v>
      </c>
      <c r="D911" s="13" t="s">
        <v>2312</v>
      </c>
      <c r="E911" s="11"/>
      <c r="F911" s="12"/>
      <c r="G911" s="13" t="str">
        <f>"9781912808021"</f>
        <v>9781912808021</v>
      </c>
      <c r="H911" s="13" t="s">
        <v>2015</v>
      </c>
      <c r="I911" s="11" t="s">
        <v>2790</v>
      </c>
      <c r="J911" s="11"/>
      <c r="K911" s="11"/>
      <c r="L911" s="11"/>
      <c r="M911" s="13" t="s">
        <v>2273</v>
      </c>
      <c r="N911" s="12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3" t="s">
        <v>2766</v>
      </c>
      <c r="AB911" s="13">
        <v>412</v>
      </c>
      <c r="AC911" s="13" t="s">
        <v>2345</v>
      </c>
      <c r="AD911" s="13" t="s">
        <v>948</v>
      </c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</row>
    <row r="912" spans="1:40" ht="20.100000000000001" customHeight="1">
      <c r="A912" s="11">
        <v>911</v>
      </c>
      <c r="B912" s="12" t="s">
        <v>38</v>
      </c>
      <c r="C912" s="12" t="s">
        <v>38</v>
      </c>
      <c r="D912" s="13" t="s">
        <v>2312</v>
      </c>
      <c r="E912" s="11"/>
      <c r="F912" s="12"/>
      <c r="G912" s="13" t="str">
        <f>"9781875833184"</f>
        <v>9781875833184</v>
      </c>
      <c r="H912" s="13" t="s">
        <v>2016</v>
      </c>
      <c r="I912" s="11" t="s">
        <v>2786</v>
      </c>
      <c r="J912" s="11"/>
      <c r="K912" s="11"/>
      <c r="L912" s="11"/>
      <c r="M912" s="13" t="s">
        <v>2274</v>
      </c>
      <c r="N912" s="12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3" t="s">
        <v>2766</v>
      </c>
      <c r="AB912" s="13">
        <v>346.94048199999997</v>
      </c>
      <c r="AC912" s="13" t="s">
        <v>2334</v>
      </c>
      <c r="AD912" s="13" t="s">
        <v>949</v>
      </c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</row>
    <row r="913" spans="1:40" ht="20.100000000000001" customHeight="1">
      <c r="A913" s="11">
        <v>912</v>
      </c>
      <c r="B913" s="12" t="s">
        <v>38</v>
      </c>
      <c r="C913" s="12" t="s">
        <v>38</v>
      </c>
      <c r="D913" s="13" t="s">
        <v>2312</v>
      </c>
      <c r="E913" s="11"/>
      <c r="F913" s="12"/>
      <c r="G913" s="13" t="str">
        <f>"9781875833269"</f>
        <v>9781875833269</v>
      </c>
      <c r="H913" s="13" t="s">
        <v>2017</v>
      </c>
      <c r="I913" s="11" t="s">
        <v>2786</v>
      </c>
      <c r="J913" s="11"/>
      <c r="K913" s="11"/>
      <c r="L913" s="11"/>
      <c r="M913" s="13" t="s">
        <v>2274</v>
      </c>
      <c r="N913" s="12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3" t="s">
        <v>2766</v>
      </c>
      <c r="AB913" s="13">
        <v>346.94048199999997</v>
      </c>
      <c r="AC913" s="13" t="s">
        <v>2334</v>
      </c>
      <c r="AD913" s="13" t="s">
        <v>950</v>
      </c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</row>
    <row r="914" spans="1:40" ht="20.100000000000001" customHeight="1">
      <c r="A914" s="11">
        <v>913</v>
      </c>
      <c r="B914" s="12" t="s">
        <v>38</v>
      </c>
      <c r="C914" s="12" t="s">
        <v>38</v>
      </c>
      <c r="D914" s="13" t="s">
        <v>2312</v>
      </c>
      <c r="E914" s="11"/>
      <c r="F914" s="12"/>
      <c r="G914" s="13" t="str">
        <f>"9780817392277"</f>
        <v>9780817392277</v>
      </c>
      <c r="H914" s="13" t="s">
        <v>2018</v>
      </c>
      <c r="I914" s="11" t="s">
        <v>2794</v>
      </c>
      <c r="J914" s="11"/>
      <c r="K914" s="11"/>
      <c r="L914" s="11"/>
      <c r="M914" s="13" t="s">
        <v>2275</v>
      </c>
      <c r="N914" s="12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3" t="s">
        <v>2766</v>
      </c>
      <c r="AB914" s="13" t="s">
        <v>2745</v>
      </c>
      <c r="AC914" s="13" t="s">
        <v>2354</v>
      </c>
      <c r="AD914" s="13" t="s">
        <v>951</v>
      </c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</row>
    <row r="915" spans="1:40" ht="20.100000000000001" customHeight="1">
      <c r="A915" s="11">
        <v>914</v>
      </c>
      <c r="B915" s="12" t="s">
        <v>38</v>
      </c>
      <c r="C915" s="12" t="s">
        <v>38</v>
      </c>
      <c r="D915" s="13" t="s">
        <v>2312</v>
      </c>
      <c r="E915" s="11"/>
      <c r="F915" s="12"/>
      <c r="G915" s="13" t="str">
        <f>"9781630472504"</f>
        <v>9781630472504</v>
      </c>
      <c r="H915" s="13" t="s">
        <v>2019</v>
      </c>
      <c r="I915" s="11" t="s">
        <v>2789</v>
      </c>
      <c r="J915" s="11"/>
      <c r="K915" s="11"/>
      <c r="L915" s="11"/>
      <c r="M915" s="13" t="s">
        <v>2276</v>
      </c>
      <c r="N915" s="12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3" t="s">
        <v>2766</v>
      </c>
      <c r="AB915" s="13"/>
      <c r="AC915" s="13" t="s">
        <v>2314</v>
      </c>
      <c r="AD915" s="13" t="s">
        <v>952</v>
      </c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</row>
    <row r="916" spans="1:40" ht="20.100000000000001" customHeight="1">
      <c r="A916" s="11">
        <v>915</v>
      </c>
      <c r="B916" s="12" t="s">
        <v>38</v>
      </c>
      <c r="C916" s="12" t="s">
        <v>38</v>
      </c>
      <c r="D916" s="13" t="s">
        <v>2312</v>
      </c>
      <c r="E916" s="11"/>
      <c r="F916" s="12"/>
      <c r="G916" s="13" t="str">
        <f>"9781464812736"</f>
        <v>9781464812736</v>
      </c>
      <c r="H916" s="13" t="s">
        <v>2020</v>
      </c>
      <c r="I916" s="11" t="s">
        <v>2793</v>
      </c>
      <c r="J916" s="11"/>
      <c r="K916" s="11"/>
      <c r="L916" s="11"/>
      <c r="M916" s="13" t="s">
        <v>2202</v>
      </c>
      <c r="N916" s="12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3" t="s">
        <v>2766</v>
      </c>
      <c r="AB916" s="13">
        <v>388.428</v>
      </c>
      <c r="AC916" s="13" t="s">
        <v>2484</v>
      </c>
      <c r="AD916" s="13" t="s">
        <v>953</v>
      </c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</row>
    <row r="917" spans="1:40" ht="20.100000000000001" customHeight="1">
      <c r="A917" s="11">
        <v>916</v>
      </c>
      <c r="B917" s="12" t="s">
        <v>38</v>
      </c>
      <c r="C917" s="12" t="s">
        <v>38</v>
      </c>
      <c r="D917" s="13" t="s">
        <v>2312</v>
      </c>
      <c r="E917" s="11"/>
      <c r="F917" s="12"/>
      <c r="G917" s="13" t="str">
        <f>"9789004364066"</f>
        <v>9789004364066</v>
      </c>
      <c r="H917" s="13" t="s">
        <v>2021</v>
      </c>
      <c r="I917" s="11" t="s">
        <v>2793</v>
      </c>
      <c r="J917" s="11"/>
      <c r="K917" s="11"/>
      <c r="L917" s="11"/>
      <c r="M917" s="13" t="s">
        <v>2184</v>
      </c>
      <c r="N917" s="12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3" t="s">
        <v>2766</v>
      </c>
      <c r="AB917" s="13">
        <v>929.90941099999998</v>
      </c>
      <c r="AC917" s="13" t="s">
        <v>2406</v>
      </c>
      <c r="AD917" s="13" t="s">
        <v>954</v>
      </c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</row>
    <row r="918" spans="1:40" ht="20.100000000000001" customHeight="1">
      <c r="A918" s="11">
        <v>917</v>
      </c>
      <c r="B918" s="12" t="s">
        <v>38</v>
      </c>
      <c r="C918" s="12" t="s">
        <v>38</v>
      </c>
      <c r="D918" s="13" t="s">
        <v>2312</v>
      </c>
      <c r="E918" s="11"/>
      <c r="F918" s="12"/>
      <c r="G918" s="13" t="str">
        <f>"9781423236726"</f>
        <v>9781423236726</v>
      </c>
      <c r="H918" s="13" t="s">
        <v>2022</v>
      </c>
      <c r="I918" s="11" t="s">
        <v>2792</v>
      </c>
      <c r="J918" s="11"/>
      <c r="K918" s="11"/>
      <c r="L918" s="11"/>
      <c r="M918" s="13" t="s">
        <v>2263</v>
      </c>
      <c r="N918" s="12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3" t="s">
        <v>2766</v>
      </c>
      <c r="AB918" s="13">
        <v>438.24209999999999</v>
      </c>
      <c r="AC918" s="13" t="s">
        <v>2345</v>
      </c>
      <c r="AD918" s="13" t="s">
        <v>955</v>
      </c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</row>
    <row r="919" spans="1:40" ht="20.100000000000001" customHeight="1">
      <c r="A919" s="11">
        <v>918</v>
      </c>
      <c r="B919" s="12" t="s">
        <v>38</v>
      </c>
      <c r="C919" s="12" t="s">
        <v>38</v>
      </c>
      <c r="D919" s="13" t="s">
        <v>2312</v>
      </c>
      <c r="E919" s="11"/>
      <c r="F919" s="12"/>
      <c r="G919" s="13" t="str">
        <f>"9781610021395"</f>
        <v>9781610021395</v>
      </c>
      <c r="H919" s="13" t="s">
        <v>2023</v>
      </c>
      <c r="I919" s="11" t="s">
        <v>2793</v>
      </c>
      <c r="J919" s="11"/>
      <c r="K919" s="11"/>
      <c r="L919" s="11"/>
      <c r="M919" s="13" t="s">
        <v>2277</v>
      </c>
      <c r="N919" s="12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3" t="s">
        <v>2766</v>
      </c>
      <c r="AB919" s="13">
        <v>468.34210246100002</v>
      </c>
      <c r="AC919" s="13" t="s">
        <v>2345</v>
      </c>
      <c r="AD919" s="13" t="s">
        <v>956</v>
      </c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</row>
    <row r="920" spans="1:40" ht="20.100000000000001" customHeight="1">
      <c r="A920" s="11">
        <v>919</v>
      </c>
      <c r="B920" s="12" t="s">
        <v>38</v>
      </c>
      <c r="C920" s="12" t="s">
        <v>38</v>
      </c>
      <c r="D920" s="13" t="s">
        <v>2312</v>
      </c>
      <c r="E920" s="11"/>
      <c r="F920" s="12"/>
      <c r="G920" s="13" t="str">
        <f>"9789004359543"</f>
        <v>9789004359543</v>
      </c>
      <c r="H920" s="13" t="s">
        <v>2024</v>
      </c>
      <c r="I920" s="11" t="s">
        <v>2792</v>
      </c>
      <c r="J920" s="11"/>
      <c r="K920" s="11"/>
      <c r="L920" s="11"/>
      <c r="M920" s="13" t="s">
        <v>2184</v>
      </c>
      <c r="N920" s="12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3" t="s">
        <v>2766</v>
      </c>
      <c r="AB920" s="13"/>
      <c r="AC920" s="13" t="s">
        <v>2345</v>
      </c>
      <c r="AD920" s="13" t="s">
        <v>957</v>
      </c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</row>
    <row r="921" spans="1:40" ht="20.100000000000001" customHeight="1">
      <c r="A921" s="11">
        <v>920</v>
      </c>
      <c r="B921" s="12" t="s">
        <v>38</v>
      </c>
      <c r="C921" s="12" t="s">
        <v>38</v>
      </c>
      <c r="D921" s="13" t="s">
        <v>2312</v>
      </c>
      <c r="E921" s="11"/>
      <c r="F921" s="12"/>
      <c r="G921" s="13" t="str">
        <f>"9781682177655"</f>
        <v>9781682177655</v>
      </c>
      <c r="H921" s="13" t="s">
        <v>2025</v>
      </c>
      <c r="I921" s="11" t="s">
        <v>2793</v>
      </c>
      <c r="J921" s="11"/>
      <c r="K921" s="11"/>
      <c r="L921" s="11"/>
      <c r="M921" s="13" t="s">
        <v>2231</v>
      </c>
      <c r="N921" s="12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3" t="s">
        <v>2766</v>
      </c>
      <c r="AB921" s="13">
        <v>307.76</v>
      </c>
      <c r="AC921" s="13" t="s">
        <v>2318</v>
      </c>
      <c r="AD921" s="13" t="s">
        <v>958</v>
      </c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</row>
    <row r="922" spans="1:40" ht="20.100000000000001" customHeight="1">
      <c r="A922" s="11">
        <v>921</v>
      </c>
      <c r="B922" s="12" t="s">
        <v>38</v>
      </c>
      <c r="C922" s="12" t="s">
        <v>38</v>
      </c>
      <c r="D922" s="13" t="s">
        <v>2312</v>
      </c>
      <c r="E922" s="11"/>
      <c r="F922" s="12"/>
      <c r="G922" s="13" t="str">
        <f>"9798216166979"</f>
        <v>9798216166979</v>
      </c>
      <c r="H922" s="13" t="s">
        <v>2026</v>
      </c>
      <c r="I922" s="11" t="s">
        <v>2793</v>
      </c>
      <c r="J922" s="11"/>
      <c r="K922" s="11"/>
      <c r="L922" s="11"/>
      <c r="M922" s="13" t="s">
        <v>2196</v>
      </c>
      <c r="N922" s="12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3" t="s">
        <v>2766</v>
      </c>
      <c r="AB922" s="13"/>
      <c r="AC922" s="13" t="s">
        <v>2485</v>
      </c>
      <c r="AD922" s="13" t="s">
        <v>959</v>
      </c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</row>
    <row r="923" spans="1:40" ht="20.100000000000001" customHeight="1">
      <c r="A923" s="11">
        <v>922</v>
      </c>
      <c r="B923" s="12" t="s">
        <v>38</v>
      </c>
      <c r="C923" s="12" t="s">
        <v>38</v>
      </c>
      <c r="D923" s="13" t="s">
        <v>2312</v>
      </c>
      <c r="E923" s="11"/>
      <c r="F923" s="12"/>
      <c r="G923" s="13" t="str">
        <f>"9789004365001"</f>
        <v>9789004365001</v>
      </c>
      <c r="H923" s="13" t="s">
        <v>2027</v>
      </c>
      <c r="I923" s="11" t="s">
        <v>2793</v>
      </c>
      <c r="J923" s="11"/>
      <c r="K923" s="11"/>
      <c r="L923" s="11"/>
      <c r="M923" s="13" t="s">
        <v>2184</v>
      </c>
      <c r="N923" s="12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3" t="s">
        <v>2766</v>
      </c>
      <c r="AB923" s="13">
        <v>301.08999999999997</v>
      </c>
      <c r="AC923" s="13" t="s">
        <v>2318</v>
      </c>
      <c r="AD923" s="13" t="s">
        <v>960</v>
      </c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</row>
    <row r="924" spans="1:40" ht="20.100000000000001" customHeight="1">
      <c r="A924" s="11">
        <v>923</v>
      </c>
      <c r="B924" s="12" t="s">
        <v>38</v>
      </c>
      <c r="C924" s="12" t="s">
        <v>38</v>
      </c>
      <c r="D924" s="13" t="s">
        <v>2312</v>
      </c>
      <c r="E924" s="11"/>
      <c r="F924" s="12"/>
      <c r="G924" s="13" t="str">
        <f>"9780776627410"</f>
        <v>9780776627410</v>
      </c>
      <c r="H924" s="13" t="s">
        <v>2028</v>
      </c>
      <c r="I924" s="11" t="s">
        <v>2793</v>
      </c>
      <c r="J924" s="11"/>
      <c r="K924" s="11"/>
      <c r="L924" s="11"/>
      <c r="M924" s="13" t="s">
        <v>2278</v>
      </c>
      <c r="N924" s="12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3" t="s">
        <v>2766</v>
      </c>
      <c r="AB924" s="13"/>
      <c r="AC924" s="13" t="s">
        <v>2354</v>
      </c>
      <c r="AD924" s="13" t="s">
        <v>961</v>
      </c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</row>
    <row r="925" spans="1:40" ht="20.100000000000001" customHeight="1">
      <c r="A925" s="11">
        <v>924</v>
      </c>
      <c r="B925" s="12" t="s">
        <v>38</v>
      </c>
      <c r="C925" s="12" t="s">
        <v>38</v>
      </c>
      <c r="D925" s="13" t="s">
        <v>2312</v>
      </c>
      <c r="E925" s="11"/>
      <c r="F925" s="12"/>
      <c r="G925" s="13" t="str">
        <f>"9781635502275"</f>
        <v>9781635502275</v>
      </c>
      <c r="H925" s="13" t="s">
        <v>2029</v>
      </c>
      <c r="I925" s="11" t="s">
        <v>2792</v>
      </c>
      <c r="J925" s="11"/>
      <c r="K925" s="11"/>
      <c r="L925" s="11"/>
      <c r="M925" s="13" t="s">
        <v>2218</v>
      </c>
      <c r="N925" s="12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3" t="s">
        <v>2766</v>
      </c>
      <c r="AB925" s="13" t="s">
        <v>2746</v>
      </c>
      <c r="AC925" s="13" t="s">
        <v>2328</v>
      </c>
      <c r="AD925" s="13" t="s">
        <v>962</v>
      </c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</row>
    <row r="926" spans="1:40" ht="20.100000000000001" customHeight="1">
      <c r="A926" s="11">
        <v>925</v>
      </c>
      <c r="B926" s="12" t="s">
        <v>38</v>
      </c>
      <c r="C926" s="12" t="s">
        <v>38</v>
      </c>
      <c r="D926" s="13" t="s">
        <v>2312</v>
      </c>
      <c r="E926" s="11"/>
      <c r="F926" s="12"/>
      <c r="G926" s="13" t="str">
        <f>"9780300240733"</f>
        <v>9780300240733</v>
      </c>
      <c r="H926" s="13" t="s">
        <v>2030</v>
      </c>
      <c r="I926" s="11" t="s">
        <v>2795</v>
      </c>
      <c r="J926" s="11"/>
      <c r="K926" s="11"/>
      <c r="L926" s="11"/>
      <c r="M926" s="13" t="s">
        <v>2241</v>
      </c>
      <c r="N926" s="12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3" t="s">
        <v>2766</v>
      </c>
      <c r="AB926" s="13"/>
      <c r="AC926" s="13" t="s">
        <v>2486</v>
      </c>
      <c r="AD926" s="13" t="s">
        <v>963</v>
      </c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</row>
    <row r="927" spans="1:40" ht="20.100000000000001" customHeight="1">
      <c r="A927" s="11">
        <v>926</v>
      </c>
      <c r="B927" s="12" t="s">
        <v>38</v>
      </c>
      <c r="C927" s="12" t="s">
        <v>38</v>
      </c>
      <c r="D927" s="13" t="s">
        <v>2312</v>
      </c>
      <c r="E927" s="11"/>
      <c r="F927" s="12"/>
      <c r="G927" s="13" t="str">
        <f>"9781626234581"</f>
        <v>9781626234581</v>
      </c>
      <c r="H927" s="13" t="s">
        <v>2031</v>
      </c>
      <c r="I927" s="11" t="s">
        <v>2795</v>
      </c>
      <c r="J927" s="11"/>
      <c r="K927" s="11"/>
      <c r="L927" s="11"/>
      <c r="M927" s="13" t="s">
        <v>2272</v>
      </c>
      <c r="N927" s="12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3" t="s">
        <v>2766</v>
      </c>
      <c r="AB927" s="13" t="s">
        <v>2747</v>
      </c>
      <c r="AC927" s="13" t="s">
        <v>2328</v>
      </c>
      <c r="AD927" s="13" t="s">
        <v>964</v>
      </c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</row>
    <row r="928" spans="1:40" ht="20.100000000000001" customHeight="1">
      <c r="A928" s="11">
        <v>927</v>
      </c>
      <c r="B928" s="12" t="s">
        <v>38</v>
      </c>
      <c r="C928" s="12" t="s">
        <v>38</v>
      </c>
      <c r="D928" s="13" t="s">
        <v>2312</v>
      </c>
      <c r="E928" s="11"/>
      <c r="F928" s="12"/>
      <c r="G928" s="13" t="str">
        <f>"9789027263070"</f>
        <v>9789027263070</v>
      </c>
      <c r="H928" s="13" t="s">
        <v>2032</v>
      </c>
      <c r="I928" s="11" t="s">
        <v>2793</v>
      </c>
      <c r="J928" s="11"/>
      <c r="K928" s="11"/>
      <c r="L928" s="11"/>
      <c r="M928" s="13" t="s">
        <v>2245</v>
      </c>
      <c r="N928" s="12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3" t="s">
        <v>2766</v>
      </c>
      <c r="AB928" s="13">
        <v>306.44</v>
      </c>
      <c r="AC928" s="13" t="s">
        <v>2318</v>
      </c>
      <c r="AD928" s="13" t="s">
        <v>965</v>
      </c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</row>
    <row r="929" spans="1:40" ht="20.100000000000001" customHeight="1">
      <c r="A929" s="11">
        <v>928</v>
      </c>
      <c r="B929" s="12" t="s">
        <v>38</v>
      </c>
      <c r="C929" s="12" t="s">
        <v>38</v>
      </c>
      <c r="D929" s="13" t="s">
        <v>2312</v>
      </c>
      <c r="E929" s="11"/>
      <c r="F929" s="12"/>
      <c r="G929" s="13" t="str">
        <f>"9781527522183"</f>
        <v>9781527522183</v>
      </c>
      <c r="H929" s="13" t="s">
        <v>2033</v>
      </c>
      <c r="I929" s="11" t="s">
        <v>2793</v>
      </c>
      <c r="J929" s="11"/>
      <c r="K929" s="11"/>
      <c r="L929" s="11"/>
      <c r="M929" s="13" t="s">
        <v>2259</v>
      </c>
      <c r="N929" s="12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3" t="s">
        <v>2766</v>
      </c>
      <c r="AB929" s="13">
        <v>418.02030000000002</v>
      </c>
      <c r="AC929" s="13" t="s">
        <v>2345</v>
      </c>
      <c r="AD929" s="13" t="s">
        <v>966</v>
      </c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</row>
    <row r="930" spans="1:40" ht="20.100000000000001" customHeight="1">
      <c r="A930" s="11">
        <v>929</v>
      </c>
      <c r="B930" s="12" t="s">
        <v>38</v>
      </c>
      <c r="C930" s="12" t="s">
        <v>38</v>
      </c>
      <c r="D930" s="13" t="s">
        <v>2312</v>
      </c>
      <c r="E930" s="11"/>
      <c r="F930" s="12"/>
      <c r="G930" s="13" t="str">
        <f>"9781626235106"</f>
        <v>9781626235106</v>
      </c>
      <c r="H930" s="13" t="s">
        <v>2034</v>
      </c>
      <c r="I930" s="11" t="s">
        <v>2795</v>
      </c>
      <c r="J930" s="11"/>
      <c r="K930" s="11"/>
      <c r="L930" s="11"/>
      <c r="M930" s="13" t="s">
        <v>2272</v>
      </c>
      <c r="N930" s="12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3" t="s">
        <v>2766</v>
      </c>
      <c r="AB930" s="13"/>
      <c r="AC930" s="13" t="s">
        <v>2328</v>
      </c>
      <c r="AD930" s="13" t="s">
        <v>967</v>
      </c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</row>
    <row r="931" spans="1:40" ht="20.100000000000001" customHeight="1">
      <c r="A931" s="11">
        <v>930</v>
      </c>
      <c r="B931" s="12" t="s">
        <v>38</v>
      </c>
      <c r="C931" s="12" t="s">
        <v>38</v>
      </c>
      <c r="D931" s="13" t="s">
        <v>2312</v>
      </c>
      <c r="E931" s="11"/>
      <c r="F931" s="12"/>
      <c r="G931" s="13" t="str">
        <f>"9781527524538"</f>
        <v>9781527524538</v>
      </c>
      <c r="H931" s="13" t="s">
        <v>2035</v>
      </c>
      <c r="I931" s="11" t="s">
        <v>2793</v>
      </c>
      <c r="J931" s="11"/>
      <c r="K931" s="11"/>
      <c r="L931" s="11"/>
      <c r="M931" s="13" t="s">
        <v>2259</v>
      </c>
      <c r="N931" s="12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3" t="s">
        <v>2766</v>
      </c>
      <c r="AB931" s="13">
        <v>428</v>
      </c>
      <c r="AC931" s="13" t="s">
        <v>2345</v>
      </c>
      <c r="AD931" s="13" t="s">
        <v>968</v>
      </c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</row>
    <row r="932" spans="1:40" ht="20.100000000000001" customHeight="1">
      <c r="A932" s="11">
        <v>931</v>
      </c>
      <c r="B932" s="12" t="s">
        <v>38</v>
      </c>
      <c r="C932" s="12" t="s">
        <v>38</v>
      </c>
      <c r="D932" s="13" t="s">
        <v>2312</v>
      </c>
      <c r="E932" s="11"/>
      <c r="F932" s="12"/>
      <c r="G932" s="13" t="str">
        <f>"9781527526334"</f>
        <v>9781527526334</v>
      </c>
      <c r="H932" s="13" t="s">
        <v>2036</v>
      </c>
      <c r="I932" s="11" t="s">
        <v>2793</v>
      </c>
      <c r="J932" s="11"/>
      <c r="K932" s="11"/>
      <c r="L932" s="11"/>
      <c r="M932" s="13" t="s">
        <v>2259</v>
      </c>
      <c r="N932" s="12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3" t="s">
        <v>2766</v>
      </c>
      <c r="AB932" s="13">
        <v>459.32100000000003</v>
      </c>
      <c r="AC932" s="13" t="s">
        <v>2345</v>
      </c>
      <c r="AD932" s="13" t="s">
        <v>969</v>
      </c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</row>
    <row r="933" spans="1:40" ht="20.100000000000001" customHeight="1">
      <c r="A933" s="11">
        <v>932</v>
      </c>
      <c r="B933" s="12" t="s">
        <v>38</v>
      </c>
      <c r="C933" s="12" t="s">
        <v>38</v>
      </c>
      <c r="D933" s="13" t="s">
        <v>2312</v>
      </c>
      <c r="E933" s="11"/>
      <c r="F933" s="12"/>
      <c r="G933" s="13" t="str">
        <f>"9781944883317"</f>
        <v>9781944883317</v>
      </c>
      <c r="H933" s="13" t="s">
        <v>2037</v>
      </c>
      <c r="I933" s="11" t="s">
        <v>2793</v>
      </c>
      <c r="J933" s="11"/>
      <c r="K933" s="11"/>
      <c r="L933" s="11"/>
      <c r="M933" s="13" t="s">
        <v>2218</v>
      </c>
      <c r="N933" s="12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3" t="s">
        <v>2766</v>
      </c>
      <c r="AB933" s="13">
        <v>616.85500000000002</v>
      </c>
      <c r="AC933" s="13" t="s">
        <v>2328</v>
      </c>
      <c r="AD933" s="13" t="s">
        <v>970</v>
      </c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</row>
    <row r="934" spans="1:40" ht="20.100000000000001" customHeight="1">
      <c r="A934" s="11">
        <v>933</v>
      </c>
      <c r="B934" s="12" t="s">
        <v>38</v>
      </c>
      <c r="C934" s="12" t="s">
        <v>38</v>
      </c>
      <c r="D934" s="13" t="s">
        <v>2312</v>
      </c>
      <c r="E934" s="11"/>
      <c r="F934" s="12"/>
      <c r="G934" s="13" t="str">
        <f>"9781635500318"</f>
        <v>9781635500318</v>
      </c>
      <c r="H934" s="13" t="s">
        <v>2038</v>
      </c>
      <c r="I934" s="11" t="s">
        <v>2793</v>
      </c>
      <c r="J934" s="11"/>
      <c r="K934" s="11"/>
      <c r="L934" s="11"/>
      <c r="M934" s="13" t="s">
        <v>2218</v>
      </c>
      <c r="N934" s="12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3" t="s">
        <v>2766</v>
      </c>
      <c r="AB934" s="13" t="s">
        <v>2748</v>
      </c>
      <c r="AC934" s="13" t="s">
        <v>2328</v>
      </c>
      <c r="AD934" s="13" t="s">
        <v>971</v>
      </c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</row>
    <row r="935" spans="1:40" ht="20.100000000000001" customHeight="1">
      <c r="A935" s="11">
        <v>934</v>
      </c>
      <c r="B935" s="12" t="s">
        <v>38</v>
      </c>
      <c r="C935" s="12" t="s">
        <v>38</v>
      </c>
      <c r="D935" s="13" t="s">
        <v>2312</v>
      </c>
      <c r="E935" s="11"/>
      <c r="F935" s="12"/>
      <c r="G935" s="13" t="str">
        <f>"9781682178232"</f>
        <v>9781682178232</v>
      </c>
      <c r="H935" s="13" t="s">
        <v>2039</v>
      </c>
      <c r="I935" s="11" t="s">
        <v>2793</v>
      </c>
      <c r="J935" s="11"/>
      <c r="K935" s="11"/>
      <c r="L935" s="11"/>
      <c r="M935" s="13" t="s">
        <v>2231</v>
      </c>
      <c r="N935" s="12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3" t="s">
        <v>2766</v>
      </c>
      <c r="AB935" s="13">
        <v>917.10024999999996</v>
      </c>
      <c r="AC935" s="13" t="s">
        <v>2372</v>
      </c>
      <c r="AD935" s="13" t="s">
        <v>972</v>
      </c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</row>
    <row r="936" spans="1:40" ht="20.100000000000001" customHeight="1">
      <c r="A936" s="11">
        <v>935</v>
      </c>
      <c r="B936" s="12" t="s">
        <v>38</v>
      </c>
      <c r="C936" s="12" t="s">
        <v>38</v>
      </c>
      <c r="D936" s="13" t="s">
        <v>2312</v>
      </c>
      <c r="E936" s="11"/>
      <c r="F936" s="12"/>
      <c r="G936" s="13" t="str">
        <f>"9781635501322"</f>
        <v>9781635501322</v>
      </c>
      <c r="H936" s="13" t="s">
        <v>2040</v>
      </c>
      <c r="I936" s="11" t="s">
        <v>2795</v>
      </c>
      <c r="J936" s="11"/>
      <c r="K936" s="11"/>
      <c r="L936" s="11"/>
      <c r="M936" s="13" t="s">
        <v>2218</v>
      </c>
      <c r="N936" s="12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3" t="s">
        <v>2766</v>
      </c>
      <c r="AB936" s="13"/>
      <c r="AC936" s="13" t="s">
        <v>2328</v>
      </c>
      <c r="AD936" s="13" t="s">
        <v>973</v>
      </c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</row>
    <row r="937" spans="1:40" ht="20.100000000000001" customHeight="1">
      <c r="A937" s="11">
        <v>936</v>
      </c>
      <c r="B937" s="12" t="s">
        <v>38</v>
      </c>
      <c r="C937" s="12" t="s">
        <v>38</v>
      </c>
      <c r="D937" s="13" t="s">
        <v>2312</v>
      </c>
      <c r="E937" s="11"/>
      <c r="F937" s="12"/>
      <c r="G937" s="13" t="str">
        <f>"9781944883904"</f>
        <v>9781944883904</v>
      </c>
      <c r="H937" s="13" t="s">
        <v>2041</v>
      </c>
      <c r="I937" s="11" t="s">
        <v>2792</v>
      </c>
      <c r="J937" s="11"/>
      <c r="K937" s="11"/>
      <c r="L937" s="11"/>
      <c r="M937" s="13" t="s">
        <v>2218</v>
      </c>
      <c r="N937" s="12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3" t="s">
        <v>2766</v>
      </c>
      <c r="AB937" s="13"/>
      <c r="AC937" s="13" t="s">
        <v>2328</v>
      </c>
      <c r="AD937" s="13" t="s">
        <v>974</v>
      </c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</row>
    <row r="938" spans="1:40" ht="20.100000000000001" customHeight="1">
      <c r="A938" s="11">
        <v>937</v>
      </c>
      <c r="B938" s="12" t="s">
        <v>38</v>
      </c>
      <c r="C938" s="12" t="s">
        <v>38</v>
      </c>
      <c r="D938" s="13" t="s">
        <v>2312</v>
      </c>
      <c r="E938" s="11"/>
      <c r="F938" s="12"/>
      <c r="G938" s="13" t="str">
        <f>"9780879466732"</f>
        <v>9780879466732</v>
      </c>
      <c r="H938" s="13" t="s">
        <v>2042</v>
      </c>
      <c r="I938" s="11" t="s">
        <v>2795</v>
      </c>
      <c r="J938" s="11"/>
      <c r="K938" s="11"/>
      <c r="L938" s="11"/>
      <c r="M938" s="13" t="s">
        <v>2279</v>
      </c>
      <c r="N938" s="12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3" t="s">
        <v>2766</v>
      </c>
      <c r="AB938" s="13">
        <v>796.33209220000003</v>
      </c>
      <c r="AC938" s="13" t="s">
        <v>2338</v>
      </c>
      <c r="AD938" s="13" t="s">
        <v>975</v>
      </c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</row>
    <row r="939" spans="1:40" ht="20.100000000000001" customHeight="1">
      <c r="A939" s="11">
        <v>938</v>
      </c>
      <c r="B939" s="12" t="s">
        <v>38</v>
      </c>
      <c r="C939" s="12" t="s">
        <v>38</v>
      </c>
      <c r="D939" s="13" t="s">
        <v>2312</v>
      </c>
      <c r="E939" s="11"/>
      <c r="F939" s="12"/>
      <c r="G939" s="13" t="str">
        <f>"9781421427324"</f>
        <v>9781421427324</v>
      </c>
      <c r="H939" s="13" t="s">
        <v>2043</v>
      </c>
      <c r="I939" s="11" t="s">
        <v>2795</v>
      </c>
      <c r="J939" s="11"/>
      <c r="K939" s="11"/>
      <c r="L939" s="11"/>
      <c r="M939" s="13" t="s">
        <v>2233</v>
      </c>
      <c r="N939" s="12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3" t="s">
        <v>2766</v>
      </c>
      <c r="AB939" s="13">
        <v>594</v>
      </c>
      <c r="AC939" s="13" t="s">
        <v>2316</v>
      </c>
      <c r="AD939" s="13" t="s">
        <v>976</v>
      </c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</row>
    <row r="940" spans="1:40" ht="20.100000000000001" customHeight="1">
      <c r="A940" s="11">
        <v>939</v>
      </c>
      <c r="B940" s="12" t="s">
        <v>38</v>
      </c>
      <c r="C940" s="12" t="s">
        <v>38</v>
      </c>
      <c r="D940" s="13" t="s">
        <v>2312</v>
      </c>
      <c r="E940" s="11"/>
      <c r="F940" s="12"/>
      <c r="G940" s="13" t="str">
        <f>"9781503609372"</f>
        <v>9781503609372</v>
      </c>
      <c r="H940" s="13" t="s">
        <v>2044</v>
      </c>
      <c r="I940" s="11" t="s">
        <v>2795</v>
      </c>
      <c r="J940" s="11"/>
      <c r="K940" s="11"/>
      <c r="L940" s="11"/>
      <c r="M940" s="13" t="s">
        <v>2252</v>
      </c>
      <c r="N940" s="12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3" t="s">
        <v>2766</v>
      </c>
      <c r="AB940" s="13">
        <v>823.91399999999999</v>
      </c>
      <c r="AC940" s="13" t="s">
        <v>2313</v>
      </c>
      <c r="AD940" s="13" t="s">
        <v>977</v>
      </c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</row>
    <row r="941" spans="1:40" ht="20.100000000000001" customHeight="1">
      <c r="A941" s="11">
        <v>940</v>
      </c>
      <c r="B941" s="12" t="s">
        <v>38</v>
      </c>
      <c r="C941" s="12" t="s">
        <v>38</v>
      </c>
      <c r="D941" s="13" t="s">
        <v>2312</v>
      </c>
      <c r="E941" s="11"/>
      <c r="F941" s="12"/>
      <c r="G941" s="13" t="str">
        <f>"9781642653717"</f>
        <v>9781642653717</v>
      </c>
      <c r="H941" s="13" t="s">
        <v>2045</v>
      </c>
      <c r="I941" s="11" t="s">
        <v>2793</v>
      </c>
      <c r="J941" s="11"/>
      <c r="K941" s="11"/>
      <c r="L941" s="11"/>
      <c r="M941" s="13" t="s">
        <v>2280</v>
      </c>
      <c r="N941" s="12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3" t="s">
        <v>2766</v>
      </c>
      <c r="AB941" s="13">
        <v>25.49</v>
      </c>
      <c r="AC941" s="13" t="s">
        <v>2432</v>
      </c>
      <c r="AD941" s="13" t="s">
        <v>978</v>
      </c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</row>
    <row r="942" spans="1:40" ht="20.100000000000001" customHeight="1">
      <c r="A942" s="11">
        <v>941</v>
      </c>
      <c r="B942" s="12" t="s">
        <v>38</v>
      </c>
      <c r="C942" s="12" t="s">
        <v>38</v>
      </c>
      <c r="D942" s="13" t="s">
        <v>2312</v>
      </c>
      <c r="E942" s="11"/>
      <c r="F942" s="12"/>
      <c r="G942" s="13" t="str">
        <f>"9781468311952"</f>
        <v>9781468311952</v>
      </c>
      <c r="H942" s="13" t="s">
        <v>2046</v>
      </c>
      <c r="I942" s="11" t="s">
        <v>2788</v>
      </c>
      <c r="J942" s="11"/>
      <c r="K942" s="11"/>
      <c r="L942" s="11"/>
      <c r="M942" s="13" t="s">
        <v>2281</v>
      </c>
      <c r="N942" s="12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3" t="s">
        <v>2766</v>
      </c>
      <c r="AB942" s="13">
        <v>150.1952</v>
      </c>
      <c r="AC942" s="13" t="s">
        <v>2346</v>
      </c>
      <c r="AD942" s="13" t="s">
        <v>979</v>
      </c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</row>
    <row r="943" spans="1:40" ht="20.100000000000001" customHeight="1">
      <c r="A943" s="11">
        <v>942</v>
      </c>
      <c r="B943" s="12" t="s">
        <v>38</v>
      </c>
      <c r="C943" s="12" t="s">
        <v>38</v>
      </c>
      <c r="D943" s="13" t="s">
        <v>2312</v>
      </c>
      <c r="E943" s="11"/>
      <c r="F943" s="12"/>
      <c r="G943" s="13" t="str">
        <f>"9781760462871"</f>
        <v>9781760462871</v>
      </c>
      <c r="H943" s="13" t="s">
        <v>1861</v>
      </c>
      <c r="I943" s="11" t="s">
        <v>2795</v>
      </c>
      <c r="J943" s="11"/>
      <c r="K943" s="11"/>
      <c r="L943" s="11"/>
      <c r="M943" s="13" t="s">
        <v>2242</v>
      </c>
      <c r="N943" s="12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3" t="s">
        <v>2766</v>
      </c>
      <c r="AB943" s="13">
        <v>920.02</v>
      </c>
      <c r="AC943" s="13" t="s">
        <v>2317</v>
      </c>
      <c r="AD943" s="13" t="s">
        <v>980</v>
      </c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</row>
    <row r="944" spans="1:40" ht="20.100000000000001" customHeight="1">
      <c r="A944" s="11">
        <v>943</v>
      </c>
      <c r="B944" s="12" t="s">
        <v>38</v>
      </c>
      <c r="C944" s="12" t="s">
        <v>38</v>
      </c>
      <c r="D944" s="13" t="s">
        <v>2312</v>
      </c>
      <c r="E944" s="11"/>
      <c r="F944" s="12"/>
      <c r="G944" s="13" t="str">
        <f>"9781615372539"</f>
        <v>9781615372539</v>
      </c>
      <c r="H944" s="13" t="s">
        <v>2047</v>
      </c>
      <c r="I944" s="11" t="s">
        <v>2795</v>
      </c>
      <c r="J944" s="11"/>
      <c r="K944" s="11"/>
      <c r="L944" s="11"/>
      <c r="M944" s="13" t="s">
        <v>2282</v>
      </c>
      <c r="N944" s="12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3" t="s">
        <v>2766</v>
      </c>
      <c r="AB944" s="13">
        <v>616.85852</v>
      </c>
      <c r="AC944" s="13" t="s">
        <v>2333</v>
      </c>
      <c r="AD944" s="13" t="s">
        <v>981</v>
      </c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</row>
    <row r="945" spans="1:40" ht="20.100000000000001" customHeight="1">
      <c r="A945" s="11">
        <v>944</v>
      </c>
      <c r="B945" s="12" t="s">
        <v>38</v>
      </c>
      <c r="C945" s="12" t="s">
        <v>38</v>
      </c>
      <c r="D945" s="13" t="s">
        <v>2312</v>
      </c>
      <c r="E945" s="11"/>
      <c r="F945" s="12"/>
      <c r="G945" s="13" t="str">
        <f>"9781936976959"</f>
        <v>9781936976959</v>
      </c>
      <c r="H945" s="13" t="s">
        <v>2048</v>
      </c>
      <c r="I945" s="11" t="s">
        <v>2789</v>
      </c>
      <c r="J945" s="11"/>
      <c r="K945" s="11"/>
      <c r="L945" s="11"/>
      <c r="M945" s="13" t="s">
        <v>2283</v>
      </c>
      <c r="N945" s="12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3" t="s">
        <v>2766</v>
      </c>
      <c r="AB945" s="13">
        <v>809.3</v>
      </c>
      <c r="AC945" s="13" t="s">
        <v>2313</v>
      </c>
      <c r="AD945" s="13" t="s">
        <v>982</v>
      </c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</row>
    <row r="946" spans="1:40" ht="20.100000000000001" customHeight="1">
      <c r="A946" s="11">
        <v>945</v>
      </c>
      <c r="B946" s="12" t="s">
        <v>38</v>
      </c>
      <c r="C946" s="12" t="s">
        <v>38</v>
      </c>
      <c r="D946" s="13" t="s">
        <v>2312</v>
      </c>
      <c r="E946" s="11"/>
      <c r="F946" s="12"/>
      <c r="G946" s="13" t="str">
        <f>"9781635500684"</f>
        <v>9781635500684</v>
      </c>
      <c r="H946" s="13" t="s">
        <v>2049</v>
      </c>
      <c r="I946" s="11" t="s">
        <v>2795</v>
      </c>
      <c r="J946" s="11"/>
      <c r="K946" s="11"/>
      <c r="L946" s="11"/>
      <c r="M946" s="13" t="s">
        <v>2218</v>
      </c>
      <c r="N946" s="12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3" t="s">
        <v>2766</v>
      </c>
      <c r="AB946" s="13" t="s">
        <v>2749</v>
      </c>
      <c r="AC946" s="13" t="s">
        <v>2487</v>
      </c>
      <c r="AD946" s="13" t="s">
        <v>983</v>
      </c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</row>
    <row r="947" spans="1:40" ht="20.100000000000001" customHeight="1">
      <c r="A947" s="11">
        <v>946</v>
      </c>
      <c r="B947" s="12" t="s">
        <v>38</v>
      </c>
      <c r="C947" s="12" t="s">
        <v>38</v>
      </c>
      <c r="D947" s="13" t="s">
        <v>2312</v>
      </c>
      <c r="E947" s="11"/>
      <c r="F947" s="12"/>
      <c r="G947" s="13" t="str">
        <f>"9781641891844"</f>
        <v>9781641891844</v>
      </c>
      <c r="H947" s="13" t="s">
        <v>2050</v>
      </c>
      <c r="I947" s="11" t="s">
        <v>2795</v>
      </c>
      <c r="J947" s="11"/>
      <c r="K947" s="11"/>
      <c r="L947" s="11"/>
      <c r="M947" s="13" t="s">
        <v>2284</v>
      </c>
      <c r="N947" s="12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3" t="s">
        <v>2766</v>
      </c>
      <c r="AB947" s="13">
        <v>809.02</v>
      </c>
      <c r="AC947" s="13" t="s">
        <v>2313</v>
      </c>
      <c r="AD947" s="13" t="s">
        <v>984</v>
      </c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</row>
    <row r="948" spans="1:40" ht="20.100000000000001" customHeight="1">
      <c r="A948" s="11">
        <v>947</v>
      </c>
      <c r="B948" s="12" t="s">
        <v>38</v>
      </c>
      <c r="C948" s="12" t="s">
        <v>38</v>
      </c>
      <c r="D948" s="13" t="s">
        <v>2312</v>
      </c>
      <c r="E948" s="11"/>
      <c r="F948" s="12"/>
      <c r="G948" s="13" t="str">
        <f>"9781784917586"</f>
        <v>9781784917586</v>
      </c>
      <c r="H948" s="13" t="s">
        <v>2051</v>
      </c>
      <c r="I948" s="11" t="s">
        <v>2793</v>
      </c>
      <c r="J948" s="11"/>
      <c r="K948" s="11"/>
      <c r="L948" s="11"/>
      <c r="M948" s="13" t="s">
        <v>2285</v>
      </c>
      <c r="N948" s="12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3" t="s">
        <v>2766</v>
      </c>
      <c r="AB948" s="13">
        <v>940.1</v>
      </c>
      <c r="AC948" s="13" t="s">
        <v>2317</v>
      </c>
      <c r="AD948" s="13" t="s">
        <v>985</v>
      </c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</row>
    <row r="949" spans="1:40" ht="20.100000000000001" customHeight="1">
      <c r="A949" s="11">
        <v>948</v>
      </c>
      <c r="B949" s="12" t="s">
        <v>38</v>
      </c>
      <c r="C949" s="12" t="s">
        <v>38</v>
      </c>
      <c r="D949" s="13" t="s">
        <v>2312</v>
      </c>
      <c r="E949" s="11"/>
      <c r="F949" s="12"/>
      <c r="G949" s="13" t="str">
        <f>"9780795347238"</f>
        <v>9780795347238</v>
      </c>
      <c r="H949" s="13" t="s">
        <v>2052</v>
      </c>
      <c r="I949" s="11" t="s">
        <v>2789</v>
      </c>
      <c r="J949" s="11"/>
      <c r="K949" s="11"/>
      <c r="L949" s="11"/>
      <c r="M949" s="13" t="s">
        <v>2286</v>
      </c>
      <c r="N949" s="12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3" t="s">
        <v>2766</v>
      </c>
      <c r="AB949" s="13">
        <v>941.08409200000006</v>
      </c>
      <c r="AC949" s="13" t="s">
        <v>2317</v>
      </c>
      <c r="AD949" s="13" t="s">
        <v>986</v>
      </c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</row>
    <row r="950" spans="1:40" ht="20.100000000000001" customHeight="1">
      <c r="A950" s="11">
        <v>949</v>
      </c>
      <c r="B950" s="12" t="s">
        <v>38</v>
      </c>
      <c r="C950" s="12" t="s">
        <v>38</v>
      </c>
      <c r="D950" s="13" t="s">
        <v>2312</v>
      </c>
      <c r="E950" s="11"/>
      <c r="F950" s="12"/>
      <c r="G950" s="13" t="str">
        <f>"9783132415638"</f>
        <v>9783132415638</v>
      </c>
      <c r="H950" s="13" t="s">
        <v>2053</v>
      </c>
      <c r="I950" s="11" t="s">
        <v>2796</v>
      </c>
      <c r="J950" s="11"/>
      <c r="K950" s="11"/>
      <c r="L950" s="11"/>
      <c r="M950" s="13" t="s">
        <v>2272</v>
      </c>
      <c r="N950" s="12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3" t="s">
        <v>2766</v>
      </c>
      <c r="AB950" s="13"/>
      <c r="AC950" s="13" t="s">
        <v>2328</v>
      </c>
      <c r="AD950" s="13" t="s">
        <v>987</v>
      </c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</row>
    <row r="951" spans="1:40" ht="20.100000000000001" customHeight="1">
      <c r="A951" s="11">
        <v>950</v>
      </c>
      <c r="B951" s="12" t="s">
        <v>38</v>
      </c>
      <c r="C951" s="12" t="s">
        <v>38</v>
      </c>
      <c r="D951" s="13" t="s">
        <v>2312</v>
      </c>
      <c r="E951" s="11"/>
      <c r="F951" s="12"/>
      <c r="G951" s="13" t="str">
        <f>"9781350042513"</f>
        <v>9781350042513</v>
      </c>
      <c r="H951" s="13" t="s">
        <v>2054</v>
      </c>
      <c r="I951" s="11" t="s">
        <v>2796</v>
      </c>
      <c r="J951" s="11"/>
      <c r="K951" s="11"/>
      <c r="L951" s="11"/>
      <c r="M951" s="13" t="s">
        <v>2196</v>
      </c>
      <c r="N951" s="12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3" t="s">
        <v>2766</v>
      </c>
      <c r="AB951" s="13">
        <v>746.92071999999996</v>
      </c>
      <c r="AC951" s="13" t="s">
        <v>2425</v>
      </c>
      <c r="AD951" s="13" t="s">
        <v>988</v>
      </c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</row>
    <row r="952" spans="1:40" ht="20.100000000000001" customHeight="1">
      <c r="A952" s="11">
        <v>951</v>
      </c>
      <c r="B952" s="12" t="s">
        <v>38</v>
      </c>
      <c r="C952" s="12" t="s">
        <v>38</v>
      </c>
      <c r="D952" s="13" t="s">
        <v>2312</v>
      </c>
      <c r="E952" s="11"/>
      <c r="F952" s="12"/>
      <c r="G952" s="13" t="str">
        <f>"9781496367365"</f>
        <v>9781496367365</v>
      </c>
      <c r="H952" s="13" t="s">
        <v>2055</v>
      </c>
      <c r="I952" s="11" t="s">
        <v>2793</v>
      </c>
      <c r="J952" s="11"/>
      <c r="K952" s="11"/>
      <c r="L952" s="11"/>
      <c r="M952" s="13" t="s">
        <v>2266</v>
      </c>
      <c r="N952" s="12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3" t="s">
        <v>2766</v>
      </c>
      <c r="AB952" s="13"/>
      <c r="AC952" s="13" t="s">
        <v>2328</v>
      </c>
      <c r="AD952" s="13" t="s">
        <v>989</v>
      </c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</row>
    <row r="953" spans="1:40" ht="20.100000000000001" customHeight="1">
      <c r="A953" s="11">
        <v>952</v>
      </c>
      <c r="B953" s="12" t="s">
        <v>38</v>
      </c>
      <c r="C953" s="12" t="s">
        <v>38</v>
      </c>
      <c r="D953" s="13" t="s">
        <v>2312</v>
      </c>
      <c r="E953" s="11"/>
      <c r="F953" s="12"/>
      <c r="G953" s="13" t="str">
        <f>"9781496218537"</f>
        <v>9781496218537</v>
      </c>
      <c r="H953" s="13" t="s">
        <v>2056</v>
      </c>
      <c r="I953" s="11" t="s">
        <v>2795</v>
      </c>
      <c r="J953" s="11"/>
      <c r="K953" s="11"/>
      <c r="L953" s="11"/>
      <c r="M953" s="13" t="s">
        <v>2226</v>
      </c>
      <c r="N953" s="12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3" t="s">
        <v>2766</v>
      </c>
      <c r="AB953" s="13">
        <v>808</v>
      </c>
      <c r="AC953" s="13" t="s">
        <v>2313</v>
      </c>
      <c r="AD953" s="13" t="s">
        <v>990</v>
      </c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</row>
    <row r="954" spans="1:40" ht="20.100000000000001" customHeight="1">
      <c r="A954" s="11">
        <v>953</v>
      </c>
      <c r="B954" s="12" t="s">
        <v>38</v>
      </c>
      <c r="C954" s="12" t="s">
        <v>38</v>
      </c>
      <c r="D954" s="13" t="s">
        <v>2312</v>
      </c>
      <c r="E954" s="11"/>
      <c r="F954" s="12"/>
      <c r="G954" s="13" t="str">
        <f>"9781944480554"</f>
        <v>9781944480554</v>
      </c>
      <c r="H954" s="13" t="s">
        <v>2057</v>
      </c>
      <c r="I954" s="11" t="s">
        <v>2795</v>
      </c>
      <c r="J954" s="11"/>
      <c r="K954" s="11"/>
      <c r="L954" s="11"/>
      <c r="M954" s="13" t="s">
        <v>2287</v>
      </c>
      <c r="N954" s="12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3" t="s">
        <v>2766</v>
      </c>
      <c r="AB954" s="13">
        <v>5.8</v>
      </c>
      <c r="AC954" s="13" t="s">
        <v>2369</v>
      </c>
      <c r="AD954" s="13" t="s">
        <v>991</v>
      </c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</row>
    <row r="955" spans="1:40" ht="20.100000000000001" customHeight="1">
      <c r="A955" s="11">
        <v>954</v>
      </c>
      <c r="B955" s="12" t="s">
        <v>38</v>
      </c>
      <c r="C955" s="12" t="s">
        <v>38</v>
      </c>
      <c r="D955" s="13" t="s">
        <v>2312</v>
      </c>
      <c r="E955" s="11"/>
      <c r="F955" s="12"/>
      <c r="G955" s="13" t="str">
        <f>"9781535934725"</f>
        <v>9781535934725</v>
      </c>
      <c r="H955" s="13" t="s">
        <v>2058</v>
      </c>
      <c r="I955" s="11" t="s">
        <v>2795</v>
      </c>
      <c r="J955" s="11"/>
      <c r="K955" s="11"/>
      <c r="L955" s="11"/>
      <c r="M955" s="13" t="s">
        <v>2288</v>
      </c>
      <c r="N955" s="12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3" t="s">
        <v>2766</v>
      </c>
      <c r="AB955" s="13"/>
      <c r="AC955" s="13" t="s">
        <v>2323</v>
      </c>
      <c r="AD955" s="13" t="s">
        <v>992</v>
      </c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</row>
    <row r="956" spans="1:40" ht="20.100000000000001" customHeight="1">
      <c r="A956" s="11">
        <v>955</v>
      </c>
      <c r="B956" s="12" t="s">
        <v>38</v>
      </c>
      <c r="C956" s="12" t="s">
        <v>38</v>
      </c>
      <c r="D956" s="13" t="s">
        <v>2312</v>
      </c>
      <c r="E956" s="11"/>
      <c r="F956" s="12"/>
      <c r="G956" s="13" t="str">
        <f>"9789004415089"</f>
        <v>9789004415089</v>
      </c>
      <c r="H956" s="13" t="s">
        <v>2059</v>
      </c>
      <c r="I956" s="11" t="s">
        <v>2795</v>
      </c>
      <c r="J956" s="11"/>
      <c r="K956" s="11"/>
      <c r="L956" s="11"/>
      <c r="M956" s="13" t="s">
        <v>2184</v>
      </c>
      <c r="N956" s="12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3" t="s">
        <v>2766</v>
      </c>
      <c r="AB956" s="13">
        <v>930</v>
      </c>
      <c r="AC956" s="13" t="s">
        <v>2488</v>
      </c>
      <c r="AD956" s="13" t="s">
        <v>993</v>
      </c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</row>
    <row r="957" spans="1:40" ht="20.100000000000001" customHeight="1">
      <c r="A957" s="11">
        <v>956</v>
      </c>
      <c r="B957" s="12" t="s">
        <v>38</v>
      </c>
      <c r="C957" s="12" t="s">
        <v>38</v>
      </c>
      <c r="D957" s="13" t="s">
        <v>2312</v>
      </c>
      <c r="E957" s="11"/>
      <c r="F957" s="12"/>
      <c r="G957" s="13" t="str">
        <f>"9781611647990"</f>
        <v>9781611647990</v>
      </c>
      <c r="H957" s="13" t="s">
        <v>2060</v>
      </c>
      <c r="I957" s="11" t="s">
        <v>2792</v>
      </c>
      <c r="J957" s="11"/>
      <c r="K957" s="11"/>
      <c r="L957" s="11"/>
      <c r="M957" s="13" t="s">
        <v>2289</v>
      </c>
      <c r="N957" s="12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3" t="s">
        <v>2766</v>
      </c>
      <c r="AB957" s="13">
        <v>221.601</v>
      </c>
      <c r="AC957" s="13" t="s">
        <v>2323</v>
      </c>
      <c r="AD957" s="13" t="s">
        <v>994</v>
      </c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</row>
    <row r="958" spans="1:40" ht="20.100000000000001" customHeight="1">
      <c r="A958" s="11">
        <v>957</v>
      </c>
      <c r="B958" s="12" t="s">
        <v>38</v>
      </c>
      <c r="C958" s="12" t="s">
        <v>38</v>
      </c>
      <c r="D958" s="13" t="s">
        <v>2312</v>
      </c>
      <c r="E958" s="11"/>
      <c r="F958" s="12"/>
      <c r="G958" s="13" t="str">
        <f>"9781788925761"</f>
        <v>9781788925761</v>
      </c>
      <c r="H958" s="13" t="s">
        <v>2061</v>
      </c>
      <c r="I958" s="11" t="s">
        <v>2795</v>
      </c>
      <c r="J958" s="11"/>
      <c r="K958" s="11"/>
      <c r="L958" s="11"/>
      <c r="M958" s="13" t="s">
        <v>2254</v>
      </c>
      <c r="N958" s="12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3" t="s">
        <v>2766</v>
      </c>
      <c r="AB958" s="13"/>
      <c r="AC958" s="13" t="s">
        <v>2486</v>
      </c>
      <c r="AD958" s="13" t="s">
        <v>995</v>
      </c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</row>
    <row r="959" spans="1:40" ht="20.100000000000001" customHeight="1">
      <c r="A959" s="11">
        <v>958</v>
      </c>
      <c r="B959" s="12" t="s">
        <v>38</v>
      </c>
      <c r="C959" s="12" t="s">
        <v>38</v>
      </c>
      <c r="D959" s="13" t="s">
        <v>2312</v>
      </c>
      <c r="E959" s="11"/>
      <c r="F959" s="12"/>
      <c r="G959" s="13" t="str">
        <f>"9781527544512"</f>
        <v>9781527544512</v>
      </c>
      <c r="H959" s="13" t="s">
        <v>2062</v>
      </c>
      <c r="I959" s="11" t="s">
        <v>2796</v>
      </c>
      <c r="J959" s="11"/>
      <c r="K959" s="11"/>
      <c r="L959" s="11"/>
      <c r="M959" s="13" t="s">
        <v>2259</v>
      </c>
      <c r="N959" s="12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3" t="s">
        <v>2766</v>
      </c>
      <c r="AB959" s="13">
        <v>621.48</v>
      </c>
      <c r="AC959" s="13" t="s">
        <v>2489</v>
      </c>
      <c r="AD959" s="13" t="s">
        <v>996</v>
      </c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</row>
    <row r="960" spans="1:40" ht="20.100000000000001" customHeight="1">
      <c r="A960" s="11">
        <v>959</v>
      </c>
      <c r="B960" s="12" t="s">
        <v>38</v>
      </c>
      <c r="C960" s="12" t="s">
        <v>38</v>
      </c>
      <c r="D960" s="13" t="s">
        <v>2312</v>
      </c>
      <c r="E960" s="11"/>
      <c r="F960" s="12"/>
      <c r="G960" s="13" t="str">
        <f>"9781536169003"</f>
        <v>9781536169003</v>
      </c>
      <c r="H960" s="13" t="s">
        <v>2063</v>
      </c>
      <c r="I960" s="11" t="s">
        <v>2796</v>
      </c>
      <c r="J960" s="11"/>
      <c r="K960" s="11"/>
      <c r="L960" s="11"/>
      <c r="M960" s="13" t="s">
        <v>2225</v>
      </c>
      <c r="N960" s="12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3" t="s">
        <v>2766</v>
      </c>
      <c r="AB960" s="13"/>
      <c r="AC960" s="13" t="s">
        <v>2317</v>
      </c>
      <c r="AD960" s="13" t="s">
        <v>997</v>
      </c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</row>
    <row r="961" spans="1:40" ht="20.100000000000001" customHeight="1">
      <c r="A961" s="11">
        <v>960</v>
      </c>
      <c r="B961" s="12" t="s">
        <v>38</v>
      </c>
      <c r="C961" s="12" t="s">
        <v>38</v>
      </c>
      <c r="D961" s="13" t="s">
        <v>2312</v>
      </c>
      <c r="E961" s="11"/>
      <c r="F961" s="12"/>
      <c r="G961" s="13" t="str">
        <f>"9780253047359"</f>
        <v>9780253047359</v>
      </c>
      <c r="H961" s="13" t="s">
        <v>2064</v>
      </c>
      <c r="I961" s="11" t="s">
        <v>2796</v>
      </c>
      <c r="J961" s="11"/>
      <c r="K961" s="11"/>
      <c r="L961" s="11"/>
      <c r="M961" s="13" t="s">
        <v>2207</v>
      </c>
      <c r="N961" s="12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3" t="s">
        <v>2766</v>
      </c>
      <c r="AB961" s="13" t="s">
        <v>2750</v>
      </c>
      <c r="AC961" s="13" t="s">
        <v>2315</v>
      </c>
      <c r="AD961" s="13" t="s">
        <v>998</v>
      </c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</row>
    <row r="962" spans="1:40" ht="20.100000000000001" customHeight="1">
      <c r="A962" s="11">
        <v>961</v>
      </c>
      <c r="B962" s="12" t="s">
        <v>38</v>
      </c>
      <c r="C962" s="12" t="s">
        <v>38</v>
      </c>
      <c r="D962" s="13" t="s">
        <v>2312</v>
      </c>
      <c r="E962" s="11"/>
      <c r="F962" s="12"/>
      <c r="G962" s="13" t="str">
        <f>"9781978820760"</f>
        <v>9781978820760</v>
      </c>
      <c r="H962" s="13" t="s">
        <v>2065</v>
      </c>
      <c r="I962" s="11" t="s">
        <v>2796</v>
      </c>
      <c r="J962" s="11"/>
      <c r="K962" s="11"/>
      <c r="L962" s="11"/>
      <c r="M962" s="13" t="s">
        <v>2213</v>
      </c>
      <c r="N962" s="12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3" t="s">
        <v>2766</v>
      </c>
      <c r="AB962" s="13" t="s">
        <v>2751</v>
      </c>
      <c r="AC962" s="13" t="s">
        <v>2329</v>
      </c>
      <c r="AD962" s="13" t="s">
        <v>999</v>
      </c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</row>
    <row r="963" spans="1:40" ht="20.100000000000001" customHeight="1">
      <c r="A963" s="11">
        <v>962</v>
      </c>
      <c r="B963" s="12" t="s">
        <v>38</v>
      </c>
      <c r="C963" s="12" t="s">
        <v>38</v>
      </c>
      <c r="D963" s="13" t="s">
        <v>2312</v>
      </c>
      <c r="E963" s="11"/>
      <c r="F963" s="12"/>
      <c r="G963" s="13" t="str">
        <f>"9781535982245"</f>
        <v>9781535982245</v>
      </c>
      <c r="H963" s="13" t="s">
        <v>2066</v>
      </c>
      <c r="I963" s="11" t="s">
        <v>2796</v>
      </c>
      <c r="J963" s="11"/>
      <c r="K963" s="11"/>
      <c r="L963" s="11"/>
      <c r="M963" s="13" t="s">
        <v>2288</v>
      </c>
      <c r="N963" s="12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3" t="s">
        <v>2766</v>
      </c>
      <c r="AB963" s="13">
        <v>230.03</v>
      </c>
      <c r="AC963" s="13" t="s">
        <v>2323</v>
      </c>
      <c r="AD963" s="13" t="s">
        <v>1000</v>
      </c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</row>
    <row r="964" spans="1:40" ht="20.100000000000001" customHeight="1">
      <c r="A964" s="11">
        <v>963</v>
      </c>
      <c r="B964" s="12" t="s">
        <v>38</v>
      </c>
      <c r="C964" s="12" t="s">
        <v>38</v>
      </c>
      <c r="D964" s="13" t="s">
        <v>2312</v>
      </c>
      <c r="E964" s="11"/>
      <c r="F964" s="12"/>
      <c r="G964" s="13" t="str">
        <f>"9781527549586"</f>
        <v>9781527549586</v>
      </c>
      <c r="H964" s="13" t="s">
        <v>2067</v>
      </c>
      <c r="I964" s="11" t="s">
        <v>2796</v>
      </c>
      <c r="J964" s="11"/>
      <c r="K964" s="11"/>
      <c r="L964" s="11"/>
      <c r="M964" s="13" t="s">
        <v>2259</v>
      </c>
      <c r="N964" s="12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3" t="s">
        <v>2766</v>
      </c>
      <c r="AB964" s="13">
        <v>146</v>
      </c>
      <c r="AC964" s="13" t="s">
        <v>2325</v>
      </c>
      <c r="AD964" s="13" t="s">
        <v>1001</v>
      </c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</row>
    <row r="965" spans="1:40" ht="20.100000000000001" customHeight="1">
      <c r="A965" s="11">
        <v>964</v>
      </c>
      <c r="B965" s="12" t="s">
        <v>38</v>
      </c>
      <c r="C965" s="12" t="s">
        <v>38</v>
      </c>
      <c r="D965" s="13" t="s">
        <v>2312</v>
      </c>
      <c r="E965" s="11"/>
      <c r="F965" s="12"/>
      <c r="G965" s="13" t="str">
        <f>"9781527550216"</f>
        <v>9781527550216</v>
      </c>
      <c r="H965" s="13" t="s">
        <v>2068</v>
      </c>
      <c r="I965" s="11" t="s">
        <v>2796</v>
      </c>
      <c r="J965" s="11"/>
      <c r="K965" s="11"/>
      <c r="L965" s="11"/>
      <c r="M965" s="13" t="s">
        <v>2259</v>
      </c>
      <c r="N965" s="12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3" t="s">
        <v>2766</v>
      </c>
      <c r="AB965" s="13">
        <v>413.02800000000002</v>
      </c>
      <c r="AC965" s="13" t="s">
        <v>2345</v>
      </c>
      <c r="AD965" s="13" t="s">
        <v>1002</v>
      </c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</row>
    <row r="966" spans="1:40" ht="20.100000000000001" customHeight="1">
      <c r="A966" s="11">
        <v>965</v>
      </c>
      <c r="B966" s="12" t="s">
        <v>38</v>
      </c>
      <c r="C966" s="12" t="s">
        <v>38</v>
      </c>
      <c r="D966" s="13" t="s">
        <v>2312</v>
      </c>
      <c r="E966" s="11"/>
      <c r="F966" s="12"/>
      <c r="G966" s="13" t="str">
        <f>"9781496205742"</f>
        <v>9781496205742</v>
      </c>
      <c r="H966" s="13" t="s">
        <v>2069</v>
      </c>
      <c r="I966" s="11" t="s">
        <v>2795</v>
      </c>
      <c r="J966" s="11"/>
      <c r="K966" s="11"/>
      <c r="L966" s="11"/>
      <c r="M966" s="13" t="s">
        <v>2226</v>
      </c>
      <c r="N966" s="12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3" t="s">
        <v>2766</v>
      </c>
      <c r="AB966" s="13" t="s">
        <v>2752</v>
      </c>
      <c r="AC966" s="13" t="s">
        <v>2345</v>
      </c>
      <c r="AD966" s="13" t="s">
        <v>1003</v>
      </c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</row>
    <row r="967" spans="1:40" ht="20.100000000000001" customHeight="1">
      <c r="A967" s="11">
        <v>966</v>
      </c>
      <c r="B967" s="12" t="s">
        <v>38</v>
      </c>
      <c r="C967" s="12" t="s">
        <v>38</v>
      </c>
      <c r="D967" s="13" t="s">
        <v>2312</v>
      </c>
      <c r="E967" s="11"/>
      <c r="F967" s="12"/>
      <c r="G967" s="13" t="str">
        <f>"9781527552012"</f>
        <v>9781527552012</v>
      </c>
      <c r="H967" s="13" t="s">
        <v>2070</v>
      </c>
      <c r="I967" s="11" t="s">
        <v>2796</v>
      </c>
      <c r="J967" s="11"/>
      <c r="K967" s="11"/>
      <c r="L967" s="11"/>
      <c r="M967" s="13" t="s">
        <v>2259</v>
      </c>
      <c r="N967" s="12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3" t="s">
        <v>2766</v>
      </c>
      <c r="AB967" s="13">
        <v>616.39</v>
      </c>
      <c r="AC967" s="13" t="s">
        <v>2328</v>
      </c>
      <c r="AD967" s="13" t="s">
        <v>1004</v>
      </c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</row>
    <row r="968" spans="1:40" ht="20.100000000000001" customHeight="1">
      <c r="A968" s="11">
        <v>967</v>
      </c>
      <c r="B968" s="12" t="s">
        <v>38</v>
      </c>
      <c r="C968" s="12" t="s">
        <v>38</v>
      </c>
      <c r="D968" s="13" t="s">
        <v>2312</v>
      </c>
      <c r="E968" s="11"/>
      <c r="F968" s="12"/>
      <c r="G968" s="13" t="str">
        <f>"9781788927154"</f>
        <v>9781788927154</v>
      </c>
      <c r="H968" s="13" t="s">
        <v>2071</v>
      </c>
      <c r="I968" s="11" t="s">
        <v>2796</v>
      </c>
      <c r="J968" s="11"/>
      <c r="K968" s="11"/>
      <c r="L968" s="11"/>
      <c r="M968" s="13" t="s">
        <v>2254</v>
      </c>
      <c r="N968" s="12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3" t="s">
        <v>2766</v>
      </c>
      <c r="AB968" s="13">
        <v>305.800723</v>
      </c>
      <c r="AC968" s="13" t="s">
        <v>2318</v>
      </c>
      <c r="AD968" s="13" t="s">
        <v>1005</v>
      </c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</row>
    <row r="969" spans="1:40" ht="20.100000000000001" customHeight="1">
      <c r="A969" s="11">
        <v>968</v>
      </c>
      <c r="B969" s="12" t="s">
        <v>38</v>
      </c>
      <c r="C969" s="12" t="s">
        <v>38</v>
      </c>
      <c r="D969" s="13" t="s">
        <v>2312</v>
      </c>
      <c r="E969" s="11"/>
      <c r="F969" s="12"/>
      <c r="G969" s="13" t="str">
        <f>"9781536177671"</f>
        <v>9781536177671</v>
      </c>
      <c r="H969" s="13" t="s">
        <v>2072</v>
      </c>
      <c r="I969" s="11" t="s">
        <v>2796</v>
      </c>
      <c r="J969" s="11"/>
      <c r="K969" s="11"/>
      <c r="L969" s="11"/>
      <c r="M969" s="13" t="s">
        <v>2225</v>
      </c>
      <c r="N969" s="12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3" t="s">
        <v>2766</v>
      </c>
      <c r="AB969" s="13">
        <v>618.9212</v>
      </c>
      <c r="AC969" s="13" t="s">
        <v>2328</v>
      </c>
      <c r="AD969" s="13" t="s">
        <v>1006</v>
      </c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</row>
    <row r="970" spans="1:40" ht="20.100000000000001" customHeight="1">
      <c r="A970" s="11">
        <v>969</v>
      </c>
      <c r="B970" s="12" t="s">
        <v>38</v>
      </c>
      <c r="C970" s="12" t="s">
        <v>38</v>
      </c>
      <c r="D970" s="13" t="s">
        <v>2312</v>
      </c>
      <c r="E970" s="11"/>
      <c r="F970" s="12"/>
      <c r="G970" s="13" t="str">
        <f>"9789004422674"</f>
        <v>9789004422674</v>
      </c>
      <c r="H970" s="13" t="s">
        <v>2073</v>
      </c>
      <c r="I970" s="11" t="s">
        <v>2796</v>
      </c>
      <c r="J970" s="11"/>
      <c r="K970" s="11"/>
      <c r="L970" s="11"/>
      <c r="M970" s="13" t="s">
        <v>2184</v>
      </c>
      <c r="N970" s="12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3" t="s">
        <v>2766</v>
      </c>
      <c r="AB970" s="13"/>
      <c r="AC970" s="13" t="s">
        <v>2345</v>
      </c>
      <c r="AD970" s="13" t="s">
        <v>1007</v>
      </c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</row>
    <row r="971" spans="1:40" ht="20.100000000000001" customHeight="1">
      <c r="A971" s="11">
        <v>970</v>
      </c>
      <c r="B971" s="12" t="s">
        <v>38</v>
      </c>
      <c r="C971" s="12" t="s">
        <v>38</v>
      </c>
      <c r="D971" s="13" t="s">
        <v>2312</v>
      </c>
      <c r="E971" s="11"/>
      <c r="F971" s="12"/>
      <c r="G971" s="13" t="str">
        <f>"9781476639260"</f>
        <v>9781476639260</v>
      </c>
      <c r="H971" s="13" t="s">
        <v>2074</v>
      </c>
      <c r="I971" s="11" t="s">
        <v>2796</v>
      </c>
      <c r="J971" s="11"/>
      <c r="K971" s="11"/>
      <c r="L971" s="11"/>
      <c r="M971" s="13" t="s">
        <v>2187</v>
      </c>
      <c r="N971" s="12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3" t="s">
        <v>2766</v>
      </c>
      <c r="AB971" s="13">
        <v>791.4375</v>
      </c>
      <c r="AC971" s="13" t="s">
        <v>2315</v>
      </c>
      <c r="AD971" s="13" t="s">
        <v>1008</v>
      </c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</row>
    <row r="972" spans="1:40" ht="20.100000000000001" customHeight="1">
      <c r="A972" s="11">
        <v>971</v>
      </c>
      <c r="B972" s="12" t="s">
        <v>38</v>
      </c>
      <c r="C972" s="12" t="s">
        <v>38</v>
      </c>
      <c r="D972" s="13" t="s">
        <v>2312</v>
      </c>
      <c r="E972" s="11"/>
      <c r="F972" s="12"/>
      <c r="G972" s="13" t="str">
        <f>"9781476640877"</f>
        <v>9781476640877</v>
      </c>
      <c r="H972" s="13" t="s">
        <v>2075</v>
      </c>
      <c r="I972" s="11" t="s">
        <v>2796</v>
      </c>
      <c r="J972" s="11"/>
      <c r="K972" s="11"/>
      <c r="L972" s="11"/>
      <c r="M972" s="13" t="s">
        <v>2187</v>
      </c>
      <c r="N972" s="12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3" t="s">
        <v>2766</v>
      </c>
      <c r="AB972" s="13">
        <v>206.5703</v>
      </c>
      <c r="AC972" s="13" t="s">
        <v>2323</v>
      </c>
      <c r="AD972" s="13" t="s">
        <v>1009</v>
      </c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</row>
    <row r="973" spans="1:40" ht="20.100000000000001" customHeight="1">
      <c r="A973" s="11">
        <v>972</v>
      </c>
      <c r="B973" s="12" t="s">
        <v>38</v>
      </c>
      <c r="C973" s="12" t="s">
        <v>38</v>
      </c>
      <c r="D973" s="13" t="s">
        <v>2312</v>
      </c>
      <c r="E973" s="11"/>
      <c r="F973" s="12"/>
      <c r="G973" s="13" t="str">
        <f>"9789004430976"</f>
        <v>9789004430976</v>
      </c>
      <c r="H973" s="13" t="s">
        <v>2076</v>
      </c>
      <c r="I973" s="11" t="s">
        <v>2796</v>
      </c>
      <c r="J973" s="11"/>
      <c r="K973" s="11"/>
      <c r="L973" s="11"/>
      <c r="M973" s="13" t="s">
        <v>2184</v>
      </c>
      <c r="N973" s="12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3" t="s">
        <v>2766</v>
      </c>
      <c r="AB973" s="13"/>
      <c r="AC973" s="13" t="s">
        <v>2345</v>
      </c>
      <c r="AD973" s="13" t="s">
        <v>1010</v>
      </c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</row>
    <row r="974" spans="1:40" ht="20.100000000000001" customHeight="1">
      <c r="A974" s="11">
        <v>973</v>
      </c>
      <c r="B974" s="12" t="s">
        <v>38</v>
      </c>
      <c r="C974" s="12" t="s">
        <v>38</v>
      </c>
      <c r="D974" s="13" t="s">
        <v>2312</v>
      </c>
      <c r="E974" s="11"/>
      <c r="F974" s="12"/>
      <c r="G974" s="13" t="str">
        <f>"9781625110565"</f>
        <v>9781625110565</v>
      </c>
      <c r="H974" s="13" t="s">
        <v>2077</v>
      </c>
      <c r="I974" s="11" t="s">
        <v>2795</v>
      </c>
      <c r="J974" s="11"/>
      <c r="K974" s="11"/>
      <c r="L974" s="11"/>
      <c r="M974" s="13" t="s">
        <v>2253</v>
      </c>
      <c r="N974" s="12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3" t="s">
        <v>2766</v>
      </c>
      <c r="AB974" s="13">
        <v>917.64036050000004</v>
      </c>
      <c r="AC974" s="13" t="s">
        <v>2490</v>
      </c>
      <c r="AD974" s="13" t="s">
        <v>1011</v>
      </c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</row>
    <row r="975" spans="1:40" ht="20.100000000000001" customHeight="1">
      <c r="A975" s="11">
        <v>974</v>
      </c>
      <c r="B975" s="12" t="s">
        <v>38</v>
      </c>
      <c r="C975" s="12" t="s">
        <v>38</v>
      </c>
      <c r="D975" s="13" t="s">
        <v>2312</v>
      </c>
      <c r="E975" s="11"/>
      <c r="F975" s="12"/>
      <c r="G975" s="13" t="str">
        <f>"9780826355522"</f>
        <v>9780826355522</v>
      </c>
      <c r="H975" s="13" t="s">
        <v>2078</v>
      </c>
      <c r="I975" s="11" t="s">
        <v>2789</v>
      </c>
      <c r="J975" s="11"/>
      <c r="K975" s="11"/>
      <c r="L975" s="11"/>
      <c r="M975" s="13" t="s">
        <v>2290</v>
      </c>
      <c r="N975" s="12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3" t="s">
        <v>2766</v>
      </c>
      <c r="AB975" s="13">
        <v>394.2</v>
      </c>
      <c r="AC975" s="13" t="s">
        <v>2318</v>
      </c>
      <c r="AD975" s="13" t="s">
        <v>1012</v>
      </c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</row>
    <row r="976" spans="1:40" ht="20.100000000000001" customHeight="1">
      <c r="A976" s="11">
        <v>975</v>
      </c>
      <c r="B976" s="12" t="s">
        <v>38</v>
      </c>
      <c r="C976" s="12" t="s">
        <v>38</v>
      </c>
      <c r="D976" s="13" t="s">
        <v>2312</v>
      </c>
      <c r="E976" s="11"/>
      <c r="F976" s="12"/>
      <c r="G976" s="13" t="str">
        <f>"9781527558069"</f>
        <v>9781527558069</v>
      </c>
      <c r="H976" s="13" t="s">
        <v>2079</v>
      </c>
      <c r="I976" s="11" t="s">
        <v>2796</v>
      </c>
      <c r="J976" s="11"/>
      <c r="K976" s="11"/>
      <c r="L976" s="11"/>
      <c r="M976" s="13" t="s">
        <v>2259</v>
      </c>
      <c r="N976" s="12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3" t="s">
        <v>2766</v>
      </c>
      <c r="AB976" s="13" t="s">
        <v>2753</v>
      </c>
      <c r="AC976" s="13" t="s">
        <v>2329</v>
      </c>
      <c r="AD976" s="13" t="s">
        <v>1013</v>
      </c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</row>
    <row r="977" spans="1:40" ht="20.100000000000001" customHeight="1">
      <c r="A977" s="11">
        <v>976</v>
      </c>
      <c r="B977" s="12" t="s">
        <v>38</v>
      </c>
      <c r="C977" s="12" t="s">
        <v>38</v>
      </c>
      <c r="D977" s="13" t="s">
        <v>2312</v>
      </c>
      <c r="E977" s="11"/>
      <c r="F977" s="12"/>
      <c r="G977" s="13" t="str">
        <f>"9781788926478"</f>
        <v>9781788926478</v>
      </c>
      <c r="H977" s="13" t="s">
        <v>2080</v>
      </c>
      <c r="I977" s="11" t="s">
        <v>2796</v>
      </c>
      <c r="J977" s="11"/>
      <c r="K977" s="11"/>
      <c r="L977" s="11"/>
      <c r="M977" s="13" t="s">
        <v>2254</v>
      </c>
      <c r="N977" s="12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3" t="s">
        <v>2766</v>
      </c>
      <c r="AB977" s="13">
        <v>306.44607200000002</v>
      </c>
      <c r="AC977" s="13" t="s">
        <v>2384</v>
      </c>
      <c r="AD977" s="13" t="s">
        <v>1014</v>
      </c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</row>
    <row r="978" spans="1:40" ht="20.100000000000001" customHeight="1">
      <c r="A978" s="11">
        <v>977</v>
      </c>
      <c r="B978" s="12" t="s">
        <v>38</v>
      </c>
      <c r="C978" s="12" t="s">
        <v>38</v>
      </c>
      <c r="D978" s="13" t="s">
        <v>2312</v>
      </c>
      <c r="E978" s="11"/>
      <c r="F978" s="12"/>
      <c r="G978" s="13" t="str">
        <f>"9781953079374"</f>
        <v>9781953079374</v>
      </c>
      <c r="H978" s="13" t="s">
        <v>2081</v>
      </c>
      <c r="I978" s="11" t="s">
        <v>2793</v>
      </c>
      <c r="J978" s="11"/>
      <c r="K978" s="11"/>
      <c r="L978" s="11"/>
      <c r="M978" s="13" t="s">
        <v>2268</v>
      </c>
      <c r="N978" s="12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3" t="s">
        <v>2766</v>
      </c>
      <c r="AB978" s="13" t="s">
        <v>2754</v>
      </c>
      <c r="AC978" s="13" t="s">
        <v>2328</v>
      </c>
      <c r="AD978" s="13" t="s">
        <v>1015</v>
      </c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</row>
    <row r="979" spans="1:40" ht="20.100000000000001" customHeight="1">
      <c r="A979" s="11">
        <v>978</v>
      </c>
      <c r="B979" s="12" t="s">
        <v>38</v>
      </c>
      <c r="C979" s="12" t="s">
        <v>38</v>
      </c>
      <c r="D979" s="13" t="s">
        <v>2312</v>
      </c>
      <c r="E979" s="11"/>
      <c r="F979" s="12"/>
      <c r="G979" s="13" t="str">
        <f>"9789004430679"</f>
        <v>9789004430679</v>
      </c>
      <c r="H979" s="13" t="s">
        <v>2082</v>
      </c>
      <c r="I979" s="11" t="s">
        <v>2796</v>
      </c>
      <c r="J979" s="11"/>
      <c r="K979" s="11"/>
      <c r="L979" s="11"/>
      <c r="M979" s="13" t="s">
        <v>2184</v>
      </c>
      <c r="N979" s="12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3" t="s">
        <v>2766</v>
      </c>
      <c r="AB979" s="13"/>
      <c r="AC979" s="13" t="s">
        <v>2345</v>
      </c>
      <c r="AD979" s="13" t="s">
        <v>1016</v>
      </c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</row>
    <row r="980" spans="1:40" ht="20.100000000000001" customHeight="1">
      <c r="A980" s="11">
        <v>979</v>
      </c>
      <c r="B980" s="12" t="s">
        <v>38</v>
      </c>
      <c r="C980" s="12" t="s">
        <v>38</v>
      </c>
      <c r="D980" s="13" t="s">
        <v>2312</v>
      </c>
      <c r="E980" s="11"/>
      <c r="F980" s="12"/>
      <c r="G980" s="13" t="str">
        <f>"9781527559288"</f>
        <v>9781527559288</v>
      </c>
      <c r="H980" s="13" t="s">
        <v>2083</v>
      </c>
      <c r="I980" s="11" t="s">
        <v>2796</v>
      </c>
      <c r="J980" s="11"/>
      <c r="K980" s="11"/>
      <c r="L980" s="11"/>
      <c r="M980" s="13" t="s">
        <v>2259</v>
      </c>
      <c r="N980" s="12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3" t="s">
        <v>2766</v>
      </c>
      <c r="AB980" s="13">
        <v>929.40891139999997</v>
      </c>
      <c r="AC980" s="13" t="s">
        <v>2317</v>
      </c>
      <c r="AD980" s="13" t="s">
        <v>1017</v>
      </c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</row>
    <row r="981" spans="1:40" ht="20.100000000000001" customHeight="1">
      <c r="A981" s="11">
        <v>980</v>
      </c>
      <c r="B981" s="12" t="s">
        <v>38</v>
      </c>
      <c r="C981" s="12" t="s">
        <v>38</v>
      </c>
      <c r="D981" s="13" t="s">
        <v>2312</v>
      </c>
      <c r="E981" s="11"/>
      <c r="F981" s="12"/>
      <c r="G981" s="13" t="str">
        <f>"9781935306528"</f>
        <v>9781935306528</v>
      </c>
      <c r="H981" s="13" t="s">
        <v>2084</v>
      </c>
      <c r="I981" s="11" t="s">
        <v>2796</v>
      </c>
      <c r="J981" s="11"/>
      <c r="K981" s="11"/>
      <c r="L981" s="11"/>
      <c r="M981" s="13" t="s">
        <v>2291</v>
      </c>
      <c r="N981" s="12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3" t="s">
        <v>2766</v>
      </c>
      <c r="AB981" s="13"/>
      <c r="AC981" s="13" t="s">
        <v>2317</v>
      </c>
      <c r="AD981" s="13" t="s">
        <v>1018</v>
      </c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</row>
    <row r="982" spans="1:40" ht="20.100000000000001" customHeight="1">
      <c r="A982" s="11">
        <v>981</v>
      </c>
      <c r="B982" s="12" t="s">
        <v>38</v>
      </c>
      <c r="C982" s="12" t="s">
        <v>38</v>
      </c>
      <c r="D982" s="13" t="s">
        <v>2312</v>
      </c>
      <c r="E982" s="11"/>
      <c r="F982" s="12"/>
      <c r="G982" s="13" t="str">
        <f>"9789004432673"</f>
        <v>9789004432673</v>
      </c>
      <c r="H982" s="13" t="s">
        <v>2085</v>
      </c>
      <c r="I982" s="11" t="s">
        <v>2796</v>
      </c>
      <c r="J982" s="11"/>
      <c r="K982" s="11"/>
      <c r="L982" s="11"/>
      <c r="M982" s="13" t="s">
        <v>2184</v>
      </c>
      <c r="N982" s="12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3" t="s">
        <v>2766</v>
      </c>
      <c r="AB982" s="13"/>
      <c r="AC982" s="13" t="s">
        <v>2345</v>
      </c>
      <c r="AD982" s="13" t="s">
        <v>1019</v>
      </c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</row>
    <row r="983" spans="1:40" ht="20.100000000000001" customHeight="1">
      <c r="A983" s="11">
        <v>982</v>
      </c>
      <c r="B983" s="12" t="s">
        <v>38</v>
      </c>
      <c r="C983" s="12" t="s">
        <v>38</v>
      </c>
      <c r="D983" s="13" t="s">
        <v>2312</v>
      </c>
      <c r="E983" s="11"/>
      <c r="F983" s="12"/>
      <c r="G983" s="13" t="str">
        <f>"9781527560499"</f>
        <v>9781527560499</v>
      </c>
      <c r="H983" s="13" t="s">
        <v>2086</v>
      </c>
      <c r="I983" s="11" t="s">
        <v>2796</v>
      </c>
      <c r="J983" s="11"/>
      <c r="K983" s="11"/>
      <c r="L983" s="11"/>
      <c r="M983" s="13" t="s">
        <v>2259</v>
      </c>
      <c r="N983" s="12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3" t="s">
        <v>2766</v>
      </c>
      <c r="AB983" s="13">
        <v>617.57504400000005</v>
      </c>
      <c r="AC983" s="13" t="s">
        <v>2328</v>
      </c>
      <c r="AD983" s="13" t="s">
        <v>1020</v>
      </c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</row>
    <row r="984" spans="1:40" ht="20.100000000000001" customHeight="1">
      <c r="A984" s="11">
        <v>983</v>
      </c>
      <c r="B984" s="12" t="s">
        <v>38</v>
      </c>
      <c r="C984" s="12" t="s">
        <v>38</v>
      </c>
      <c r="D984" s="13" t="s">
        <v>2312</v>
      </c>
      <c r="E984" s="11"/>
      <c r="F984" s="12"/>
      <c r="G984" s="13" t="str">
        <f>"9781789697636"</f>
        <v>9781789697636</v>
      </c>
      <c r="H984" s="13" t="s">
        <v>2087</v>
      </c>
      <c r="I984" s="11" t="s">
        <v>2796</v>
      </c>
      <c r="J984" s="11"/>
      <c r="K984" s="11"/>
      <c r="L984" s="11"/>
      <c r="M984" s="13" t="s">
        <v>2285</v>
      </c>
      <c r="N984" s="12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3" t="s">
        <v>2766</v>
      </c>
      <c r="AB984" s="13">
        <v>473.21</v>
      </c>
      <c r="AC984" s="13" t="s">
        <v>2345</v>
      </c>
      <c r="AD984" s="13" t="s">
        <v>1021</v>
      </c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</row>
    <row r="985" spans="1:40" ht="20.100000000000001" customHeight="1">
      <c r="A985" s="11">
        <v>984</v>
      </c>
      <c r="B985" s="12" t="s">
        <v>38</v>
      </c>
      <c r="C985" s="12" t="s">
        <v>38</v>
      </c>
      <c r="D985" s="13" t="s">
        <v>2312</v>
      </c>
      <c r="E985" s="11"/>
      <c r="F985" s="12"/>
      <c r="G985" s="13" t="str">
        <f>"9781760463809"</f>
        <v>9781760463809</v>
      </c>
      <c r="H985" s="13" t="s">
        <v>1861</v>
      </c>
      <c r="I985" s="11" t="s">
        <v>2796</v>
      </c>
      <c r="J985" s="11"/>
      <c r="K985" s="11"/>
      <c r="L985" s="11"/>
      <c r="M985" s="13" t="s">
        <v>2242</v>
      </c>
      <c r="N985" s="12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3" t="s">
        <v>2766</v>
      </c>
      <c r="AB985" s="13">
        <v>920.02</v>
      </c>
      <c r="AC985" s="13" t="s">
        <v>2317</v>
      </c>
      <c r="AD985" s="13" t="s">
        <v>1022</v>
      </c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</row>
    <row r="986" spans="1:40" ht="20.100000000000001" customHeight="1">
      <c r="A986" s="11">
        <v>985</v>
      </c>
      <c r="B986" s="12" t="s">
        <v>38</v>
      </c>
      <c r="C986" s="12" t="s">
        <v>38</v>
      </c>
      <c r="D986" s="13" t="s">
        <v>2312</v>
      </c>
      <c r="E986" s="11"/>
      <c r="F986" s="12"/>
      <c r="G986" s="13" t="str">
        <f>"9789004438484"</f>
        <v>9789004438484</v>
      </c>
      <c r="H986" s="13" t="s">
        <v>2088</v>
      </c>
      <c r="I986" s="11" t="s">
        <v>2796</v>
      </c>
      <c r="J986" s="11"/>
      <c r="K986" s="11"/>
      <c r="L986" s="11"/>
      <c r="M986" s="13" t="s">
        <v>2184</v>
      </c>
      <c r="N986" s="12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3" t="s">
        <v>2766</v>
      </c>
      <c r="AB986" s="13"/>
      <c r="AC986" s="13" t="s">
        <v>2345</v>
      </c>
      <c r="AD986" s="13" t="s">
        <v>1023</v>
      </c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</row>
    <row r="987" spans="1:40" ht="20.100000000000001" customHeight="1">
      <c r="A987" s="11">
        <v>986</v>
      </c>
      <c r="B987" s="12" t="s">
        <v>38</v>
      </c>
      <c r="C987" s="12" t="s">
        <v>38</v>
      </c>
      <c r="D987" s="13" t="s">
        <v>2312</v>
      </c>
      <c r="E987" s="11"/>
      <c r="F987" s="12"/>
      <c r="G987" s="13" t="str">
        <f>"9789004444836"</f>
        <v>9789004444836</v>
      </c>
      <c r="H987" s="13" t="s">
        <v>2089</v>
      </c>
      <c r="I987" s="11" t="s">
        <v>2796</v>
      </c>
      <c r="J987" s="11"/>
      <c r="K987" s="11"/>
      <c r="L987" s="11"/>
      <c r="M987" s="13" t="s">
        <v>2184</v>
      </c>
      <c r="N987" s="12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3" t="s">
        <v>2766</v>
      </c>
      <c r="AB987" s="13"/>
      <c r="AC987" s="13" t="s">
        <v>2349</v>
      </c>
      <c r="AD987" s="13" t="s">
        <v>1024</v>
      </c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</row>
    <row r="988" spans="1:40" ht="20.100000000000001" customHeight="1">
      <c r="A988" s="11">
        <v>987</v>
      </c>
      <c r="B988" s="12" t="s">
        <v>38</v>
      </c>
      <c r="C988" s="12" t="s">
        <v>38</v>
      </c>
      <c r="D988" s="13" t="s">
        <v>2312</v>
      </c>
      <c r="E988" s="11"/>
      <c r="F988" s="12"/>
      <c r="G988" s="13" t="str">
        <f>"9781642651003"</f>
        <v>9781642651003</v>
      </c>
      <c r="H988" s="13" t="s">
        <v>2090</v>
      </c>
      <c r="I988" s="11" t="s">
        <v>2795</v>
      </c>
      <c r="J988" s="11"/>
      <c r="K988" s="11"/>
      <c r="L988" s="11"/>
      <c r="M988" s="13" t="s">
        <v>2231</v>
      </c>
      <c r="N988" s="12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3" t="s">
        <v>2766</v>
      </c>
      <c r="AB988" s="13">
        <v>352.24092273000002</v>
      </c>
      <c r="AC988" s="13" t="s">
        <v>2406</v>
      </c>
      <c r="AD988" s="13" t="s">
        <v>1025</v>
      </c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</row>
    <row r="989" spans="1:40" ht="20.100000000000001" customHeight="1">
      <c r="A989" s="11">
        <v>988</v>
      </c>
      <c r="B989" s="12" t="s">
        <v>38</v>
      </c>
      <c r="C989" s="12" t="s">
        <v>38</v>
      </c>
      <c r="D989" s="13" t="s">
        <v>2312</v>
      </c>
      <c r="E989" s="11"/>
      <c r="F989" s="12"/>
      <c r="G989" s="13" t="str">
        <f>"9781642651089"</f>
        <v>9781642651089</v>
      </c>
      <c r="H989" s="13" t="s">
        <v>2091</v>
      </c>
      <c r="I989" s="11" t="s">
        <v>2795</v>
      </c>
      <c r="J989" s="11"/>
      <c r="K989" s="11"/>
      <c r="L989" s="11"/>
      <c r="M989" s="13" t="s">
        <v>2231</v>
      </c>
      <c r="N989" s="12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3" t="s">
        <v>2766</v>
      </c>
      <c r="AB989" s="13">
        <v>261.70972999999998</v>
      </c>
      <c r="AC989" s="13" t="s">
        <v>2323</v>
      </c>
      <c r="AD989" s="13" t="s">
        <v>1026</v>
      </c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</row>
    <row r="990" spans="1:40" ht="20.100000000000001" customHeight="1">
      <c r="A990" s="11">
        <v>989</v>
      </c>
      <c r="B990" s="12" t="s">
        <v>38</v>
      </c>
      <c r="C990" s="12" t="s">
        <v>38</v>
      </c>
      <c r="D990" s="13" t="s">
        <v>2312</v>
      </c>
      <c r="E990" s="11"/>
      <c r="F990" s="12"/>
      <c r="G990" s="13" t="str">
        <f>"9781642650983"</f>
        <v>9781642650983</v>
      </c>
      <c r="H990" s="13" t="s">
        <v>2092</v>
      </c>
      <c r="I990" s="11" t="s">
        <v>2795</v>
      </c>
      <c r="J990" s="11"/>
      <c r="K990" s="11"/>
      <c r="L990" s="11"/>
      <c r="M990" s="13" t="s">
        <v>2231</v>
      </c>
      <c r="N990" s="12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3" t="s">
        <v>2766</v>
      </c>
      <c r="AB990" s="13">
        <v>320.08199999999999</v>
      </c>
      <c r="AC990" s="13" t="s">
        <v>2398</v>
      </c>
      <c r="AD990" s="13" t="s">
        <v>1027</v>
      </c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</row>
    <row r="991" spans="1:40" ht="20.100000000000001" customHeight="1">
      <c r="A991" s="11">
        <v>990</v>
      </c>
      <c r="B991" s="12" t="s">
        <v>38</v>
      </c>
      <c r="C991" s="12" t="s">
        <v>38</v>
      </c>
      <c r="D991" s="13" t="s">
        <v>2312</v>
      </c>
      <c r="E991" s="11"/>
      <c r="F991" s="12"/>
      <c r="G991" s="13" t="str">
        <f>"9781642650679"</f>
        <v>9781642650679</v>
      </c>
      <c r="H991" s="13" t="s">
        <v>2093</v>
      </c>
      <c r="I991" s="11" t="s">
        <v>2795</v>
      </c>
      <c r="J991" s="11"/>
      <c r="K991" s="11"/>
      <c r="L991" s="11"/>
      <c r="M991" s="13" t="s">
        <v>2231</v>
      </c>
      <c r="N991" s="12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3" t="s">
        <v>2766</v>
      </c>
      <c r="AB991" s="13">
        <v>364.66097300000001</v>
      </c>
      <c r="AC991" s="13" t="s">
        <v>2318</v>
      </c>
      <c r="AD991" s="13" t="s">
        <v>1028</v>
      </c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</row>
    <row r="992" spans="1:40" ht="20.100000000000001" customHeight="1">
      <c r="A992" s="11">
        <v>991</v>
      </c>
      <c r="B992" s="12" t="s">
        <v>38</v>
      </c>
      <c r="C992" s="12" t="s">
        <v>38</v>
      </c>
      <c r="D992" s="13" t="s">
        <v>2312</v>
      </c>
      <c r="E992" s="11"/>
      <c r="F992" s="12"/>
      <c r="G992" s="13" t="str">
        <f>"9781486306299"</f>
        <v>9781486306299</v>
      </c>
      <c r="H992" s="13" t="s">
        <v>2094</v>
      </c>
      <c r="I992" s="11" t="s">
        <v>2797</v>
      </c>
      <c r="J992" s="11"/>
      <c r="K992" s="11"/>
      <c r="L992" s="11"/>
      <c r="M992" s="13" t="s">
        <v>2292</v>
      </c>
      <c r="N992" s="12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3" t="s">
        <v>2766</v>
      </c>
      <c r="AB992" s="13">
        <v>599.09929999999997</v>
      </c>
      <c r="AC992" s="13" t="s">
        <v>2316</v>
      </c>
      <c r="AD992" s="13" t="s">
        <v>1029</v>
      </c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</row>
    <row r="993" spans="1:40" ht="20.100000000000001" customHeight="1">
      <c r="A993" s="11">
        <v>992</v>
      </c>
      <c r="B993" s="12" t="s">
        <v>38</v>
      </c>
      <c r="C993" s="12" t="s">
        <v>38</v>
      </c>
      <c r="D993" s="13" t="s">
        <v>2312</v>
      </c>
      <c r="E993" s="11"/>
      <c r="F993" s="12"/>
      <c r="G993" s="13" t="str">
        <f>"9789004400429"</f>
        <v>9789004400429</v>
      </c>
      <c r="H993" s="13" t="s">
        <v>2095</v>
      </c>
      <c r="I993" s="11" t="s">
        <v>2795</v>
      </c>
      <c r="J993" s="11"/>
      <c r="K993" s="11"/>
      <c r="L993" s="11"/>
      <c r="M993" s="13" t="s">
        <v>2184</v>
      </c>
      <c r="N993" s="12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3" t="s">
        <v>2766</v>
      </c>
      <c r="AB993" s="13"/>
      <c r="AC993" s="13" t="s">
        <v>2345</v>
      </c>
      <c r="AD993" s="13" t="s">
        <v>1030</v>
      </c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</row>
    <row r="994" spans="1:40" ht="20.100000000000001" customHeight="1">
      <c r="A994" s="11">
        <v>993</v>
      </c>
      <c r="B994" s="12" t="s">
        <v>38</v>
      </c>
      <c r="C994" s="12" t="s">
        <v>38</v>
      </c>
      <c r="D994" s="13" t="s">
        <v>2312</v>
      </c>
      <c r="E994" s="11"/>
      <c r="F994" s="12"/>
      <c r="G994" s="13" t="str">
        <f>"9789004445970"</f>
        <v>9789004445970</v>
      </c>
      <c r="H994" s="13" t="s">
        <v>2096</v>
      </c>
      <c r="I994" s="11" t="s">
        <v>2797</v>
      </c>
      <c r="J994" s="11"/>
      <c r="K994" s="11"/>
      <c r="L994" s="11"/>
      <c r="M994" s="13" t="s">
        <v>2184</v>
      </c>
      <c r="N994" s="12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3" t="s">
        <v>2766</v>
      </c>
      <c r="AB994" s="13"/>
      <c r="AC994" s="13" t="s">
        <v>2345</v>
      </c>
      <c r="AD994" s="13" t="s">
        <v>1031</v>
      </c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</row>
    <row r="995" spans="1:40" ht="20.100000000000001" customHeight="1">
      <c r="A995" s="11">
        <v>994</v>
      </c>
      <c r="B995" s="12" t="s">
        <v>38</v>
      </c>
      <c r="C995" s="12" t="s">
        <v>38</v>
      </c>
      <c r="D995" s="13" t="s">
        <v>2312</v>
      </c>
      <c r="E995" s="11"/>
      <c r="F995" s="12"/>
      <c r="G995" s="13" t="str">
        <f>"9781642656275"</f>
        <v>9781642656275</v>
      </c>
      <c r="H995" s="13" t="s">
        <v>2097</v>
      </c>
      <c r="I995" s="11" t="s">
        <v>2796</v>
      </c>
      <c r="J995" s="11"/>
      <c r="K995" s="11"/>
      <c r="L995" s="11"/>
      <c r="M995" s="13" t="s">
        <v>2270</v>
      </c>
      <c r="N995" s="12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3" t="s">
        <v>2766</v>
      </c>
      <c r="AB995" s="13">
        <v>332.04154030000001</v>
      </c>
      <c r="AC995" s="13" t="s">
        <v>2359</v>
      </c>
      <c r="AD995" s="13" t="s">
        <v>1032</v>
      </c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</row>
    <row r="996" spans="1:40" ht="20.100000000000001" customHeight="1">
      <c r="A996" s="11">
        <v>995</v>
      </c>
      <c r="B996" s="12" t="s">
        <v>38</v>
      </c>
      <c r="C996" s="12" t="s">
        <v>38</v>
      </c>
      <c r="D996" s="13" t="s">
        <v>2312</v>
      </c>
      <c r="E996" s="11"/>
      <c r="F996" s="12"/>
      <c r="G996" s="13" t="str">
        <f>"9781642652260"</f>
        <v>9781642652260</v>
      </c>
      <c r="H996" s="13" t="s">
        <v>2098</v>
      </c>
      <c r="I996" s="11" t="s">
        <v>2795</v>
      </c>
      <c r="J996" s="11"/>
      <c r="K996" s="11"/>
      <c r="L996" s="11"/>
      <c r="M996" s="13" t="s">
        <v>2270</v>
      </c>
      <c r="N996" s="12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3" t="s">
        <v>2766</v>
      </c>
      <c r="AB996" s="13">
        <v>31.02</v>
      </c>
      <c r="AC996" s="13" t="s">
        <v>2354</v>
      </c>
      <c r="AD996" s="13" t="s">
        <v>1033</v>
      </c>
      <c r="AE996" s="12"/>
      <c r="AF996" s="12"/>
      <c r="AG996" s="12"/>
      <c r="AH996" s="12"/>
      <c r="AI996" s="12"/>
      <c r="AJ996" s="12"/>
      <c r="AK996" s="12"/>
      <c r="AL996" s="12"/>
      <c r="AM996" s="12"/>
      <c r="AN996" s="12"/>
    </row>
    <row r="997" spans="1:40" ht="20.100000000000001" customHeight="1">
      <c r="A997" s="11">
        <v>996</v>
      </c>
      <c r="B997" s="12" t="s">
        <v>38</v>
      </c>
      <c r="C997" s="12" t="s">
        <v>38</v>
      </c>
      <c r="D997" s="13" t="s">
        <v>2312</v>
      </c>
      <c r="E997" s="11"/>
      <c r="F997" s="12"/>
      <c r="G997" s="13" t="str">
        <f>"9781637000397"</f>
        <v>9781637000397</v>
      </c>
      <c r="H997" s="13" t="s">
        <v>2099</v>
      </c>
      <c r="I997" s="11" t="s">
        <v>2798</v>
      </c>
      <c r="J997" s="11"/>
      <c r="K997" s="11"/>
      <c r="L997" s="11"/>
      <c r="M997" s="13" t="s">
        <v>2231</v>
      </c>
      <c r="N997" s="12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3" t="s">
        <v>2766</v>
      </c>
      <c r="AB997" s="13">
        <v>641.56309999999996</v>
      </c>
      <c r="AC997" s="13" t="s">
        <v>2491</v>
      </c>
      <c r="AD997" s="13" t="s">
        <v>1034</v>
      </c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</row>
    <row r="998" spans="1:40" ht="20.100000000000001" customHeight="1">
      <c r="A998" s="11">
        <v>997</v>
      </c>
      <c r="B998" s="12" t="s">
        <v>38</v>
      </c>
      <c r="C998" s="12" t="s">
        <v>38</v>
      </c>
      <c r="D998" s="13" t="s">
        <v>2312</v>
      </c>
      <c r="E998" s="11"/>
      <c r="F998" s="12"/>
      <c r="G998" s="13" t="str">
        <f>"9781637000380"</f>
        <v>9781637000380</v>
      </c>
      <c r="H998" s="13" t="s">
        <v>2100</v>
      </c>
      <c r="I998" s="11" t="s">
        <v>2796</v>
      </c>
      <c r="J998" s="11"/>
      <c r="K998" s="11"/>
      <c r="L998" s="11"/>
      <c r="M998" s="13" t="s">
        <v>2231</v>
      </c>
      <c r="N998" s="12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3" t="s">
        <v>2766</v>
      </c>
      <c r="AB998" s="13">
        <v>616.1</v>
      </c>
      <c r="AC998" s="13" t="s">
        <v>2328</v>
      </c>
      <c r="AD998" s="13" t="s">
        <v>1035</v>
      </c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</row>
    <row r="999" spans="1:40" ht="20.100000000000001" customHeight="1">
      <c r="A999" s="11">
        <v>998</v>
      </c>
      <c r="B999" s="12" t="s">
        <v>38</v>
      </c>
      <c r="C999" s="12" t="s">
        <v>38</v>
      </c>
      <c r="D999" s="13" t="s">
        <v>2312</v>
      </c>
      <c r="E999" s="11"/>
      <c r="F999" s="12"/>
      <c r="G999" s="13" t="str">
        <f>"9781975151270"</f>
        <v>9781975151270</v>
      </c>
      <c r="H999" s="13" t="s">
        <v>2101</v>
      </c>
      <c r="I999" s="11" t="s">
        <v>2796</v>
      </c>
      <c r="J999" s="11"/>
      <c r="K999" s="11"/>
      <c r="L999" s="11"/>
      <c r="M999" s="13" t="s">
        <v>2293</v>
      </c>
      <c r="N999" s="12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3" t="s">
        <v>2766</v>
      </c>
      <c r="AB999" s="13">
        <v>617.47</v>
      </c>
      <c r="AC999" s="13" t="s">
        <v>2328</v>
      </c>
      <c r="AD999" s="13" t="s">
        <v>1036</v>
      </c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</row>
    <row r="1000" spans="1:40" ht="20.100000000000001" customHeight="1">
      <c r="A1000" s="11">
        <v>999</v>
      </c>
      <c r="B1000" s="12" t="s">
        <v>38</v>
      </c>
      <c r="C1000" s="12" t="s">
        <v>38</v>
      </c>
      <c r="D1000" s="13" t="s">
        <v>2312</v>
      </c>
      <c r="E1000" s="11"/>
      <c r="F1000" s="12"/>
      <c r="G1000" s="13" t="str">
        <f>"9781928480990"</f>
        <v>9781928480990</v>
      </c>
      <c r="H1000" s="13" t="s">
        <v>2102</v>
      </c>
      <c r="I1000" s="11" t="s">
        <v>2797</v>
      </c>
      <c r="J1000" s="11"/>
      <c r="K1000" s="11"/>
      <c r="L1000" s="11"/>
      <c r="M1000" s="13" t="s">
        <v>2294</v>
      </c>
      <c r="N1000" s="12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3" t="s">
        <v>2766</v>
      </c>
      <c r="AB1000" s="13">
        <v>362.10968000000003</v>
      </c>
      <c r="AC1000" s="13" t="s">
        <v>2408</v>
      </c>
      <c r="AD1000" s="13" t="s">
        <v>1037</v>
      </c>
      <c r="AE1000" s="12"/>
      <c r="AF1000" s="12"/>
      <c r="AG1000" s="12"/>
      <c r="AH1000" s="12"/>
      <c r="AI1000" s="12"/>
      <c r="AJ1000" s="12"/>
      <c r="AK1000" s="12"/>
      <c r="AL1000" s="12"/>
      <c r="AM1000" s="12"/>
      <c r="AN1000" s="12"/>
    </row>
    <row r="1001" spans="1:40" ht="20.100000000000001" customHeight="1">
      <c r="A1001" s="11">
        <v>1000</v>
      </c>
      <c r="B1001" s="12" t="s">
        <v>38</v>
      </c>
      <c r="C1001" s="12" t="s">
        <v>38</v>
      </c>
      <c r="D1001" s="13" t="s">
        <v>2312</v>
      </c>
      <c r="E1001" s="11"/>
      <c r="F1001" s="12"/>
      <c r="G1001" s="13" t="str">
        <f>"9789004445222"</f>
        <v>9789004445222</v>
      </c>
      <c r="H1001" s="13" t="s">
        <v>2103</v>
      </c>
      <c r="I1001" s="11" t="s">
        <v>2797</v>
      </c>
      <c r="J1001" s="11"/>
      <c r="K1001" s="11"/>
      <c r="L1001" s="11"/>
      <c r="M1001" s="13" t="s">
        <v>2184</v>
      </c>
      <c r="N1001" s="12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3" t="s">
        <v>2766</v>
      </c>
      <c r="AB1001" s="13"/>
      <c r="AC1001" s="13" t="s">
        <v>2317</v>
      </c>
      <c r="AD1001" s="13" t="s">
        <v>1038</v>
      </c>
      <c r="AE1001" s="12"/>
      <c r="AF1001" s="12"/>
      <c r="AG1001" s="12"/>
      <c r="AH1001" s="12"/>
      <c r="AI1001" s="12"/>
      <c r="AJ1001" s="12"/>
      <c r="AK1001" s="12"/>
      <c r="AL1001" s="12"/>
      <c r="AM1001" s="12"/>
      <c r="AN1001" s="12"/>
    </row>
    <row r="1002" spans="1:40" ht="20.100000000000001" customHeight="1">
      <c r="A1002" s="11">
        <v>1001</v>
      </c>
      <c r="B1002" s="12" t="s">
        <v>38</v>
      </c>
      <c r="C1002" s="12" t="s">
        <v>38</v>
      </c>
      <c r="D1002" s="13" t="s">
        <v>2312</v>
      </c>
      <c r="E1002" s="11"/>
      <c r="F1002" s="12"/>
      <c r="G1002" s="13" t="str">
        <f>"9789004461086"</f>
        <v>9789004461086</v>
      </c>
      <c r="H1002" s="13" t="s">
        <v>2104</v>
      </c>
      <c r="I1002" s="11" t="s">
        <v>2797</v>
      </c>
      <c r="J1002" s="11"/>
      <c r="K1002" s="11"/>
      <c r="L1002" s="11"/>
      <c r="M1002" s="13" t="s">
        <v>2184</v>
      </c>
      <c r="N1002" s="12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3" t="s">
        <v>2766</v>
      </c>
      <c r="AB1002" s="13"/>
      <c r="AC1002" s="13" t="s">
        <v>2345</v>
      </c>
      <c r="AD1002" s="13" t="s">
        <v>1039</v>
      </c>
      <c r="AE1002" s="12"/>
      <c r="AF1002" s="12"/>
      <c r="AG1002" s="12"/>
      <c r="AH1002" s="12"/>
      <c r="AI1002" s="12"/>
      <c r="AJ1002" s="12"/>
      <c r="AK1002" s="12"/>
      <c r="AL1002" s="12"/>
      <c r="AM1002" s="12"/>
      <c r="AN1002" s="12"/>
    </row>
    <row r="1003" spans="1:40" ht="20.100000000000001" customHeight="1">
      <c r="A1003" s="11">
        <v>1002</v>
      </c>
      <c r="B1003" s="12" t="s">
        <v>38</v>
      </c>
      <c r="C1003" s="12" t="s">
        <v>38</v>
      </c>
      <c r="D1003" s="13" t="s">
        <v>2312</v>
      </c>
      <c r="E1003" s="11"/>
      <c r="F1003" s="12"/>
      <c r="G1003" s="13" t="str">
        <f>"9789004449916"</f>
        <v>9789004449916</v>
      </c>
      <c r="H1003" s="13" t="s">
        <v>2105</v>
      </c>
      <c r="I1003" s="11" t="s">
        <v>2797</v>
      </c>
      <c r="J1003" s="11"/>
      <c r="K1003" s="11"/>
      <c r="L1003" s="11"/>
      <c r="M1003" s="13" t="s">
        <v>2184</v>
      </c>
      <c r="N1003" s="12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3" t="s">
        <v>2766</v>
      </c>
      <c r="AB1003" s="13"/>
      <c r="AC1003" s="13" t="s">
        <v>2345</v>
      </c>
      <c r="AD1003" s="13" t="s">
        <v>1040</v>
      </c>
      <c r="AE1003" s="12"/>
      <c r="AF1003" s="12"/>
      <c r="AG1003" s="12"/>
      <c r="AH1003" s="12"/>
      <c r="AI1003" s="12"/>
      <c r="AJ1003" s="12"/>
      <c r="AK1003" s="12"/>
      <c r="AL1003" s="12"/>
      <c r="AM1003" s="12"/>
      <c r="AN1003" s="12"/>
    </row>
    <row r="1004" spans="1:40" ht="20.100000000000001" customHeight="1">
      <c r="A1004" s="11">
        <v>1003</v>
      </c>
      <c r="B1004" s="12" t="s">
        <v>38</v>
      </c>
      <c r="C1004" s="12" t="s">
        <v>38</v>
      </c>
      <c r="D1004" s="13" t="s">
        <v>2312</v>
      </c>
      <c r="E1004" s="11"/>
      <c r="F1004" s="12"/>
      <c r="G1004" s="13" t="str">
        <f>"9781642659245"</f>
        <v>9781642659245</v>
      </c>
      <c r="H1004" s="13" t="s">
        <v>2106</v>
      </c>
      <c r="I1004" s="11" t="s">
        <v>2797</v>
      </c>
      <c r="J1004" s="11"/>
      <c r="K1004" s="11"/>
      <c r="L1004" s="11"/>
      <c r="M1004" s="13" t="s">
        <v>2270</v>
      </c>
      <c r="N1004" s="12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3" t="s">
        <v>2766</v>
      </c>
      <c r="AB1004" s="13">
        <v>332.04150971050001</v>
      </c>
      <c r="AC1004" s="13" t="s">
        <v>2359</v>
      </c>
      <c r="AD1004" s="13" t="s">
        <v>1041</v>
      </c>
      <c r="AE1004" s="12"/>
      <c r="AF1004" s="12"/>
      <c r="AG1004" s="12"/>
      <c r="AH1004" s="12"/>
      <c r="AI1004" s="12"/>
      <c r="AJ1004" s="12"/>
      <c r="AK1004" s="12"/>
      <c r="AL1004" s="12"/>
      <c r="AM1004" s="12"/>
      <c r="AN1004" s="12"/>
    </row>
    <row r="1005" spans="1:40" ht="20.100000000000001" customHeight="1">
      <c r="A1005" s="11">
        <v>1004</v>
      </c>
      <c r="B1005" s="12" t="s">
        <v>38</v>
      </c>
      <c r="C1005" s="12" t="s">
        <v>38</v>
      </c>
      <c r="D1005" s="13" t="s">
        <v>2312</v>
      </c>
      <c r="E1005" s="11"/>
      <c r="F1005" s="12"/>
      <c r="G1005" s="13" t="str">
        <f>"9781635503180"</f>
        <v>9781635503180</v>
      </c>
      <c r="H1005" s="13" t="s">
        <v>2107</v>
      </c>
      <c r="I1005" s="11" t="s">
        <v>2797</v>
      </c>
      <c r="J1005" s="11"/>
      <c r="K1005" s="11"/>
      <c r="L1005" s="11"/>
      <c r="M1005" s="13" t="s">
        <v>2218</v>
      </c>
      <c r="N1005" s="12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3" t="s">
        <v>2766</v>
      </c>
      <c r="AB1005" s="13" t="s">
        <v>2755</v>
      </c>
      <c r="AC1005" s="13" t="s">
        <v>2328</v>
      </c>
      <c r="AD1005" s="13" t="s">
        <v>1042</v>
      </c>
      <c r="AE1005" s="12"/>
      <c r="AF1005" s="12"/>
      <c r="AG1005" s="12"/>
      <c r="AH1005" s="12"/>
      <c r="AI1005" s="12"/>
      <c r="AJ1005" s="12"/>
      <c r="AK1005" s="12"/>
      <c r="AL1005" s="12"/>
      <c r="AM1005" s="12"/>
      <c r="AN1005" s="12"/>
    </row>
    <row r="1006" spans="1:40" ht="20.100000000000001" customHeight="1">
      <c r="A1006" s="11">
        <v>1005</v>
      </c>
      <c r="B1006" s="12" t="s">
        <v>38</v>
      </c>
      <c r="C1006" s="12" t="s">
        <v>38</v>
      </c>
      <c r="D1006" s="13" t="s">
        <v>2312</v>
      </c>
      <c r="E1006" s="11"/>
      <c r="F1006" s="12"/>
      <c r="G1006" s="13" t="str">
        <f>"9781635503692"</f>
        <v>9781635503692</v>
      </c>
      <c r="H1006" s="13" t="s">
        <v>2108</v>
      </c>
      <c r="I1006" s="11" t="s">
        <v>2797</v>
      </c>
      <c r="J1006" s="11"/>
      <c r="K1006" s="11"/>
      <c r="L1006" s="11"/>
      <c r="M1006" s="13" t="s">
        <v>2218</v>
      </c>
      <c r="N1006" s="12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3" t="s">
        <v>2766</v>
      </c>
      <c r="AB1006" s="13">
        <v>617.79999999999905</v>
      </c>
      <c r="AC1006" s="13" t="s">
        <v>2328</v>
      </c>
      <c r="AD1006" s="13" t="s">
        <v>1043</v>
      </c>
      <c r="AE1006" s="12"/>
      <c r="AF1006" s="12"/>
      <c r="AG1006" s="12"/>
      <c r="AH1006" s="12"/>
      <c r="AI1006" s="12"/>
      <c r="AJ1006" s="12"/>
      <c r="AK1006" s="12"/>
      <c r="AL1006" s="12"/>
      <c r="AM1006" s="12"/>
      <c r="AN1006" s="12"/>
    </row>
    <row r="1007" spans="1:40" ht="20.100000000000001" customHeight="1">
      <c r="A1007" s="11">
        <v>1006</v>
      </c>
      <c r="B1007" s="12" t="s">
        <v>38</v>
      </c>
      <c r="C1007" s="12" t="s">
        <v>38</v>
      </c>
      <c r="D1007" s="13" t="s">
        <v>2312</v>
      </c>
      <c r="E1007" s="11"/>
      <c r="F1007" s="12"/>
      <c r="G1007" s="13" t="str">
        <f>"9781975141080"</f>
        <v>9781975141080</v>
      </c>
      <c r="H1007" s="13" t="s">
        <v>2109</v>
      </c>
      <c r="I1007" s="11" t="s">
        <v>2796</v>
      </c>
      <c r="J1007" s="11"/>
      <c r="K1007" s="11"/>
      <c r="L1007" s="11"/>
      <c r="M1007" s="13" t="s">
        <v>2293</v>
      </c>
      <c r="N1007" s="12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3" t="s">
        <v>2766</v>
      </c>
      <c r="AB1007" s="13" t="s">
        <v>2756</v>
      </c>
      <c r="AC1007" s="13" t="s">
        <v>2328</v>
      </c>
      <c r="AD1007" s="13" t="s">
        <v>1044</v>
      </c>
      <c r="AE1007" s="12"/>
      <c r="AF1007" s="12"/>
      <c r="AG1007" s="12"/>
      <c r="AH1007" s="12"/>
      <c r="AI1007" s="12"/>
      <c r="AJ1007" s="12"/>
      <c r="AK1007" s="12"/>
      <c r="AL1007" s="12"/>
      <c r="AM1007" s="12"/>
      <c r="AN1007" s="12"/>
    </row>
    <row r="1008" spans="1:40" ht="20.100000000000001" customHeight="1">
      <c r="A1008" s="11">
        <v>1007</v>
      </c>
      <c r="B1008" s="12" t="s">
        <v>38</v>
      </c>
      <c r="C1008" s="12" t="s">
        <v>38</v>
      </c>
      <c r="D1008" s="13" t="s">
        <v>2312</v>
      </c>
      <c r="E1008" s="11"/>
      <c r="F1008" s="12"/>
      <c r="G1008" s="13" t="str">
        <f>"9781040373767"</f>
        <v>9781040373767</v>
      </c>
      <c r="H1008" s="13" t="s">
        <v>2110</v>
      </c>
      <c r="I1008" s="11" t="s">
        <v>2797</v>
      </c>
      <c r="J1008" s="11"/>
      <c r="K1008" s="11"/>
      <c r="L1008" s="11"/>
      <c r="M1008" s="13" t="s">
        <v>2175</v>
      </c>
      <c r="N1008" s="12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3" t="s">
        <v>2766</v>
      </c>
      <c r="AB1008" s="13">
        <v>615</v>
      </c>
      <c r="AC1008" s="13" t="s">
        <v>2492</v>
      </c>
      <c r="AD1008" s="13" t="s">
        <v>1045</v>
      </c>
      <c r="AE1008" s="12"/>
      <c r="AF1008" s="12"/>
      <c r="AG1008" s="12"/>
      <c r="AH1008" s="12"/>
      <c r="AI1008" s="12"/>
      <c r="AJ1008" s="12"/>
      <c r="AK1008" s="12"/>
      <c r="AL1008" s="12"/>
      <c r="AM1008" s="12"/>
      <c r="AN1008" s="12"/>
    </row>
    <row r="1009" spans="1:40" ht="20.100000000000001" customHeight="1">
      <c r="A1009" s="11">
        <v>1008</v>
      </c>
      <c r="B1009" s="12" t="s">
        <v>38</v>
      </c>
      <c r="C1009" s="12" t="s">
        <v>38</v>
      </c>
      <c r="D1009" s="13" t="s">
        <v>2312</v>
      </c>
      <c r="E1009" s="11"/>
      <c r="F1009" s="12"/>
      <c r="G1009" s="13" t="str">
        <f>"9781783305391"</f>
        <v>9781783305391</v>
      </c>
      <c r="H1009" s="13" t="s">
        <v>2111</v>
      </c>
      <c r="I1009" s="11" t="s">
        <v>2798</v>
      </c>
      <c r="J1009" s="11"/>
      <c r="K1009" s="11"/>
      <c r="L1009" s="11"/>
      <c r="M1009" s="13" t="s">
        <v>2295</v>
      </c>
      <c r="N1009" s="12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3" t="s">
        <v>2766</v>
      </c>
      <c r="AB1009" s="13">
        <v>20</v>
      </c>
      <c r="AC1009" s="13" t="s">
        <v>2432</v>
      </c>
      <c r="AD1009" s="13" t="s">
        <v>1046</v>
      </c>
      <c r="AE1009" s="12"/>
      <c r="AF1009" s="12"/>
      <c r="AG1009" s="12"/>
      <c r="AH1009" s="12"/>
      <c r="AI1009" s="12"/>
      <c r="AJ1009" s="12"/>
      <c r="AK1009" s="12"/>
      <c r="AL1009" s="12"/>
      <c r="AM1009" s="12"/>
      <c r="AN1009" s="12"/>
    </row>
    <row r="1010" spans="1:40" ht="20.100000000000001" customHeight="1">
      <c r="A1010" s="11">
        <v>1009</v>
      </c>
      <c r="B1010" s="12" t="s">
        <v>38</v>
      </c>
      <c r="C1010" s="12" t="s">
        <v>38</v>
      </c>
      <c r="D1010" s="13" t="s">
        <v>2312</v>
      </c>
      <c r="E1010" s="11"/>
      <c r="F1010" s="12"/>
      <c r="G1010" s="13" t="str">
        <f>"9781635503388"</f>
        <v>9781635503388</v>
      </c>
      <c r="H1010" s="13" t="s">
        <v>2112</v>
      </c>
      <c r="I1010" s="11" t="s">
        <v>2797</v>
      </c>
      <c r="J1010" s="11"/>
      <c r="K1010" s="11"/>
      <c r="L1010" s="11"/>
      <c r="M1010" s="13" t="s">
        <v>2218</v>
      </c>
      <c r="N1010" s="12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3" t="s">
        <v>2766</v>
      </c>
      <c r="AB1010" s="13" t="s">
        <v>2757</v>
      </c>
      <c r="AC1010" s="13" t="s">
        <v>2328</v>
      </c>
      <c r="AD1010" s="13" t="s">
        <v>1047</v>
      </c>
      <c r="AE1010" s="12"/>
      <c r="AF1010" s="12"/>
      <c r="AG1010" s="12"/>
      <c r="AH1010" s="12"/>
      <c r="AI1010" s="12"/>
      <c r="AJ1010" s="12"/>
      <c r="AK1010" s="12"/>
      <c r="AL1010" s="12"/>
      <c r="AM1010" s="12"/>
      <c r="AN1010" s="12"/>
    </row>
    <row r="1011" spans="1:40" ht="20.100000000000001" customHeight="1">
      <c r="A1011" s="11">
        <v>1010</v>
      </c>
      <c r="B1011" s="12" t="s">
        <v>38</v>
      </c>
      <c r="C1011" s="12" t="s">
        <v>38</v>
      </c>
      <c r="D1011" s="13" t="s">
        <v>2312</v>
      </c>
      <c r="E1011" s="11"/>
      <c r="F1011" s="12"/>
      <c r="G1011" s="13" t="str">
        <f>"9781648893292"</f>
        <v>9781648893292</v>
      </c>
      <c r="H1011" s="13" t="s">
        <v>2113</v>
      </c>
      <c r="I1011" s="11" t="s">
        <v>2798</v>
      </c>
      <c r="J1011" s="11"/>
      <c r="K1011" s="11"/>
      <c r="L1011" s="11"/>
      <c r="M1011" s="13" t="s">
        <v>2296</v>
      </c>
      <c r="N1011" s="12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3" t="s">
        <v>2766</v>
      </c>
      <c r="AB1011" s="13">
        <v>220.5</v>
      </c>
      <c r="AC1011" s="13" t="s">
        <v>2323</v>
      </c>
      <c r="AD1011" s="13" t="s">
        <v>1048</v>
      </c>
      <c r="AE1011" s="12"/>
      <c r="AF1011" s="12"/>
      <c r="AG1011" s="12"/>
      <c r="AH1011" s="12"/>
      <c r="AI1011" s="12"/>
      <c r="AJ1011" s="12"/>
      <c r="AK1011" s="12"/>
      <c r="AL1011" s="12"/>
      <c r="AM1011" s="12"/>
      <c r="AN1011" s="12"/>
    </row>
    <row r="1012" spans="1:40" ht="20.100000000000001" customHeight="1">
      <c r="A1012" s="11">
        <v>1011</v>
      </c>
      <c r="B1012" s="12" t="s">
        <v>38</v>
      </c>
      <c r="C1012" s="12" t="s">
        <v>38</v>
      </c>
      <c r="D1012" s="13" t="s">
        <v>2312</v>
      </c>
      <c r="E1012" s="11"/>
      <c r="F1012" s="12"/>
      <c r="G1012" s="13" t="str">
        <f>"9781635503821"</f>
        <v>9781635503821</v>
      </c>
      <c r="H1012" s="13" t="s">
        <v>2114</v>
      </c>
      <c r="I1012" s="11" t="s">
        <v>2797</v>
      </c>
      <c r="J1012" s="11"/>
      <c r="K1012" s="11"/>
      <c r="L1012" s="11"/>
      <c r="M1012" s="13" t="s">
        <v>2218</v>
      </c>
      <c r="N1012" s="12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3" t="s">
        <v>2766</v>
      </c>
      <c r="AB1012" s="13" t="s">
        <v>2758</v>
      </c>
      <c r="AC1012" s="13" t="s">
        <v>2328</v>
      </c>
      <c r="AD1012" s="13" t="s">
        <v>1049</v>
      </c>
      <c r="AE1012" s="12"/>
      <c r="AF1012" s="12"/>
      <c r="AG1012" s="12"/>
      <c r="AH1012" s="12"/>
      <c r="AI1012" s="12"/>
      <c r="AJ1012" s="12"/>
      <c r="AK1012" s="12"/>
      <c r="AL1012" s="12"/>
      <c r="AM1012" s="12"/>
      <c r="AN1012" s="12"/>
    </row>
    <row r="1013" spans="1:40" ht="20.100000000000001" customHeight="1">
      <c r="A1013" s="11">
        <v>1012</v>
      </c>
      <c r="B1013" s="12" t="s">
        <v>38</v>
      </c>
      <c r="C1013" s="12" t="s">
        <v>38</v>
      </c>
      <c r="D1013" s="13" t="s">
        <v>2312</v>
      </c>
      <c r="E1013" s="11"/>
      <c r="F1013" s="12"/>
      <c r="G1013" s="13" t="str">
        <f>"9781644250693"</f>
        <v>9781644250693</v>
      </c>
      <c r="H1013" s="13" t="s">
        <v>2115</v>
      </c>
      <c r="I1013" s="11" t="s">
        <v>2797</v>
      </c>
      <c r="J1013" s="11"/>
      <c r="K1013" s="11"/>
      <c r="L1013" s="11"/>
      <c r="M1013" s="13" t="s">
        <v>2297</v>
      </c>
      <c r="N1013" s="12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3" t="s">
        <v>2766</v>
      </c>
      <c r="AB1013" s="13"/>
      <c r="AC1013" s="13" t="s">
        <v>2493</v>
      </c>
      <c r="AD1013" s="13" t="s">
        <v>1050</v>
      </c>
      <c r="AE1013" s="12"/>
      <c r="AF1013" s="12"/>
      <c r="AG1013" s="12"/>
      <c r="AH1013" s="12"/>
      <c r="AI1013" s="12"/>
      <c r="AJ1013" s="12"/>
      <c r="AK1013" s="12"/>
      <c r="AL1013" s="12"/>
      <c r="AM1013" s="12"/>
      <c r="AN1013" s="12"/>
    </row>
    <row r="1014" spans="1:40" ht="20.100000000000001" customHeight="1">
      <c r="A1014" s="11">
        <v>1013</v>
      </c>
      <c r="B1014" s="12" t="s">
        <v>38</v>
      </c>
      <c r="C1014" s="12" t="s">
        <v>38</v>
      </c>
      <c r="D1014" s="13" t="s">
        <v>2312</v>
      </c>
      <c r="E1014" s="11"/>
      <c r="F1014" s="12"/>
      <c r="G1014" s="13" t="str">
        <f>"9789004432895"</f>
        <v>9789004432895</v>
      </c>
      <c r="H1014" s="13" t="s">
        <v>2116</v>
      </c>
      <c r="I1014" s="11" t="s">
        <v>2797</v>
      </c>
      <c r="J1014" s="11"/>
      <c r="K1014" s="11"/>
      <c r="L1014" s="11"/>
      <c r="M1014" s="13" t="s">
        <v>2184</v>
      </c>
      <c r="N1014" s="12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3" t="s">
        <v>2766</v>
      </c>
      <c r="AB1014" s="13"/>
      <c r="AC1014" s="13" t="s">
        <v>2494</v>
      </c>
      <c r="AD1014" s="13" t="s">
        <v>1051</v>
      </c>
      <c r="AE1014" s="12"/>
      <c r="AF1014" s="12"/>
      <c r="AG1014" s="12"/>
      <c r="AH1014" s="12"/>
      <c r="AI1014" s="12"/>
      <c r="AJ1014" s="12"/>
      <c r="AK1014" s="12"/>
      <c r="AL1014" s="12"/>
      <c r="AM1014" s="12"/>
      <c r="AN1014" s="12"/>
    </row>
    <row r="1015" spans="1:40" ht="20.100000000000001" customHeight="1">
      <c r="A1015" s="11">
        <v>1014</v>
      </c>
      <c r="B1015" s="12" t="s">
        <v>38</v>
      </c>
      <c r="C1015" s="12" t="s">
        <v>38</v>
      </c>
      <c r="D1015" s="13" t="s">
        <v>2312</v>
      </c>
      <c r="E1015" s="11"/>
      <c r="F1015" s="12"/>
      <c r="G1015" s="13" t="str">
        <f>"9781760464615"</f>
        <v>9781760464615</v>
      </c>
      <c r="H1015" s="13" t="s">
        <v>2117</v>
      </c>
      <c r="I1015" s="11" t="s">
        <v>2797</v>
      </c>
      <c r="J1015" s="11"/>
      <c r="K1015" s="11"/>
      <c r="L1015" s="11"/>
      <c r="M1015" s="13" t="s">
        <v>2242</v>
      </c>
      <c r="N1015" s="12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3" t="s">
        <v>2766</v>
      </c>
      <c r="AB1015" s="13">
        <v>499.5</v>
      </c>
      <c r="AC1015" s="13" t="s">
        <v>2345</v>
      </c>
      <c r="AD1015" s="13" t="s">
        <v>1052</v>
      </c>
      <c r="AE1015" s="12"/>
      <c r="AF1015" s="12"/>
      <c r="AG1015" s="12"/>
      <c r="AH1015" s="12"/>
      <c r="AI1015" s="12"/>
      <c r="AJ1015" s="12"/>
      <c r="AK1015" s="12"/>
      <c r="AL1015" s="12"/>
      <c r="AM1015" s="12"/>
      <c r="AN1015" s="12"/>
    </row>
    <row r="1016" spans="1:40" ht="20.100000000000001" customHeight="1">
      <c r="A1016" s="11">
        <v>1015</v>
      </c>
      <c r="B1016" s="12" t="s">
        <v>38</v>
      </c>
      <c r="C1016" s="12" t="s">
        <v>38</v>
      </c>
      <c r="D1016" s="13" t="s">
        <v>2312</v>
      </c>
      <c r="E1016" s="11"/>
      <c r="F1016" s="12"/>
      <c r="G1016" s="13" t="str">
        <f>"9781760464578"</f>
        <v>9781760464578</v>
      </c>
      <c r="H1016" s="13" t="s">
        <v>2118</v>
      </c>
      <c r="I1016" s="11" t="s">
        <v>2797</v>
      </c>
      <c r="J1016" s="11"/>
      <c r="K1016" s="11"/>
      <c r="L1016" s="11"/>
      <c r="M1016" s="13" t="s">
        <v>2242</v>
      </c>
      <c r="N1016" s="12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3" t="s">
        <v>2766</v>
      </c>
      <c r="AB1016" s="13">
        <v>499.5</v>
      </c>
      <c r="AC1016" s="13" t="s">
        <v>2345</v>
      </c>
      <c r="AD1016" s="13" t="s">
        <v>1053</v>
      </c>
      <c r="AE1016" s="12"/>
      <c r="AF1016" s="12"/>
      <c r="AG1016" s="12"/>
      <c r="AH1016" s="12"/>
      <c r="AI1016" s="12"/>
      <c r="AJ1016" s="12"/>
      <c r="AK1016" s="12"/>
      <c r="AL1016" s="12"/>
      <c r="AM1016" s="12"/>
      <c r="AN1016" s="12"/>
    </row>
    <row r="1017" spans="1:40" ht="20.100000000000001" customHeight="1">
      <c r="A1017" s="11">
        <v>1016</v>
      </c>
      <c r="B1017" s="12" t="s">
        <v>38</v>
      </c>
      <c r="C1017" s="12" t="s">
        <v>38</v>
      </c>
      <c r="D1017" s="13" t="s">
        <v>2312</v>
      </c>
      <c r="E1017" s="11"/>
      <c r="F1017" s="12"/>
      <c r="G1017" s="13" t="str">
        <f>"9781760464790"</f>
        <v>9781760464790</v>
      </c>
      <c r="H1017" s="13" t="s">
        <v>2119</v>
      </c>
      <c r="I1017" s="11" t="s">
        <v>2797</v>
      </c>
      <c r="J1017" s="11"/>
      <c r="K1017" s="11"/>
      <c r="L1017" s="11"/>
      <c r="M1017" s="13" t="s">
        <v>2242</v>
      </c>
      <c r="N1017" s="12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3" t="s">
        <v>2766</v>
      </c>
      <c r="AB1017" s="13">
        <v>499.5</v>
      </c>
      <c r="AC1017" s="13" t="s">
        <v>2345</v>
      </c>
      <c r="AD1017" s="13" t="s">
        <v>1054</v>
      </c>
      <c r="AE1017" s="12"/>
      <c r="AF1017" s="12"/>
      <c r="AG1017" s="12"/>
      <c r="AH1017" s="12"/>
      <c r="AI1017" s="12"/>
      <c r="AJ1017" s="12"/>
      <c r="AK1017" s="12"/>
      <c r="AL1017" s="12"/>
      <c r="AM1017" s="12"/>
      <c r="AN1017" s="12"/>
    </row>
    <row r="1018" spans="1:40" ht="20.100000000000001" customHeight="1">
      <c r="A1018" s="11">
        <v>1017</v>
      </c>
      <c r="B1018" s="12" t="s">
        <v>38</v>
      </c>
      <c r="C1018" s="12" t="s">
        <v>38</v>
      </c>
      <c r="D1018" s="13" t="s">
        <v>2312</v>
      </c>
      <c r="E1018" s="11"/>
      <c r="F1018" s="12"/>
      <c r="G1018" s="13" t="str">
        <f>"9789004473003"</f>
        <v>9789004473003</v>
      </c>
      <c r="H1018" s="13" t="s">
        <v>2120</v>
      </c>
      <c r="I1018" s="11" t="s">
        <v>2798</v>
      </c>
      <c r="J1018" s="11"/>
      <c r="K1018" s="11"/>
      <c r="L1018" s="11"/>
      <c r="M1018" s="13" t="s">
        <v>2184</v>
      </c>
      <c r="N1018" s="12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3" t="s">
        <v>2766</v>
      </c>
      <c r="AB1018" s="13"/>
      <c r="AC1018" s="13" t="s">
        <v>2495</v>
      </c>
      <c r="AD1018" s="13" t="s">
        <v>1055</v>
      </c>
      <c r="AE1018" s="12"/>
      <c r="AF1018" s="12"/>
      <c r="AG1018" s="12"/>
      <c r="AH1018" s="12"/>
      <c r="AI1018" s="12"/>
      <c r="AJ1018" s="12"/>
      <c r="AK1018" s="12"/>
      <c r="AL1018" s="12"/>
      <c r="AM1018" s="12"/>
      <c r="AN1018" s="12"/>
    </row>
    <row r="1019" spans="1:40" ht="20.100000000000001" customHeight="1">
      <c r="A1019" s="11">
        <v>1018</v>
      </c>
      <c r="B1019" s="12" t="s">
        <v>38</v>
      </c>
      <c r="C1019" s="12" t="s">
        <v>38</v>
      </c>
      <c r="D1019" s="13" t="s">
        <v>2312</v>
      </c>
      <c r="E1019" s="11"/>
      <c r="F1019" s="12"/>
      <c r="G1019" s="13" t="str">
        <f>"9781625110688"</f>
        <v>9781625110688</v>
      </c>
      <c r="H1019" s="13" t="s">
        <v>2121</v>
      </c>
      <c r="I1019" s="11" t="s">
        <v>2797</v>
      </c>
      <c r="J1019" s="11"/>
      <c r="K1019" s="11"/>
      <c r="L1019" s="11"/>
      <c r="M1019" s="13" t="s">
        <v>2253</v>
      </c>
      <c r="N1019" s="12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3" t="s">
        <v>2766</v>
      </c>
      <c r="AB1019" s="13">
        <v>976.4</v>
      </c>
      <c r="AC1019" s="13" t="s">
        <v>2317</v>
      </c>
      <c r="AD1019" s="13" t="s">
        <v>1056</v>
      </c>
      <c r="AE1019" s="12"/>
      <c r="AF1019" s="12"/>
      <c r="AG1019" s="12"/>
      <c r="AH1019" s="12"/>
      <c r="AI1019" s="12"/>
      <c r="AJ1019" s="12"/>
      <c r="AK1019" s="12"/>
      <c r="AL1019" s="12"/>
      <c r="AM1019" s="12"/>
      <c r="AN1019" s="12"/>
    </row>
    <row r="1020" spans="1:40" ht="20.100000000000001" customHeight="1">
      <c r="A1020" s="11">
        <v>1019</v>
      </c>
      <c r="B1020" s="12" t="s">
        <v>38</v>
      </c>
      <c r="C1020" s="12" t="s">
        <v>38</v>
      </c>
      <c r="D1020" s="13" t="s">
        <v>2312</v>
      </c>
      <c r="E1020" s="11"/>
      <c r="F1020" s="12"/>
      <c r="G1020" s="13" t="str">
        <f>"9781789698589"</f>
        <v>9781789698589</v>
      </c>
      <c r="H1020" s="13" t="s">
        <v>2122</v>
      </c>
      <c r="I1020" s="11" t="s">
        <v>2797</v>
      </c>
      <c r="J1020" s="11"/>
      <c r="K1020" s="11"/>
      <c r="L1020" s="11"/>
      <c r="M1020" s="13" t="s">
        <v>2285</v>
      </c>
      <c r="N1020" s="12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3" t="s">
        <v>2766</v>
      </c>
      <c r="AB1020" s="13">
        <v>930.10299999999995</v>
      </c>
      <c r="AC1020" s="13" t="s">
        <v>2317</v>
      </c>
      <c r="AD1020" s="13" t="s">
        <v>1057</v>
      </c>
      <c r="AE1020" s="12"/>
      <c r="AF1020" s="12"/>
      <c r="AG1020" s="12"/>
      <c r="AH1020" s="12"/>
      <c r="AI1020" s="12"/>
      <c r="AJ1020" s="12"/>
      <c r="AK1020" s="12"/>
      <c r="AL1020" s="12"/>
      <c r="AM1020" s="12"/>
      <c r="AN1020" s="12"/>
    </row>
    <row r="1021" spans="1:40" ht="20.100000000000001" customHeight="1">
      <c r="A1021" s="11">
        <v>1020</v>
      </c>
      <c r="B1021" s="12" t="s">
        <v>38</v>
      </c>
      <c r="C1021" s="12" t="s">
        <v>38</v>
      </c>
      <c r="D1021" s="13" t="s">
        <v>2312</v>
      </c>
      <c r="E1021" s="11"/>
      <c r="F1021" s="12"/>
      <c r="G1021" s="13" t="str">
        <f>"9789004435230"</f>
        <v>9789004435230</v>
      </c>
      <c r="H1021" s="13" t="s">
        <v>2123</v>
      </c>
      <c r="I1021" s="11" t="s">
        <v>2796</v>
      </c>
      <c r="J1021" s="11"/>
      <c r="K1021" s="11"/>
      <c r="L1021" s="11"/>
      <c r="M1021" s="13" t="s">
        <v>2184</v>
      </c>
      <c r="N1021" s="12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3" t="s">
        <v>2766</v>
      </c>
      <c r="AB1021" s="13"/>
      <c r="AC1021" s="13" t="s">
        <v>2345</v>
      </c>
      <c r="AD1021" s="13" t="s">
        <v>1058</v>
      </c>
      <c r="AE1021" s="12"/>
      <c r="AF1021" s="12"/>
      <c r="AG1021" s="12"/>
      <c r="AH1021" s="12"/>
      <c r="AI1021" s="12"/>
      <c r="AJ1021" s="12"/>
      <c r="AK1021" s="12"/>
      <c r="AL1021" s="12"/>
      <c r="AM1021" s="12"/>
      <c r="AN1021" s="12"/>
    </row>
    <row r="1022" spans="1:40" ht="20.100000000000001" customHeight="1">
      <c r="A1022" s="11">
        <v>1021</v>
      </c>
      <c r="B1022" s="12" t="s">
        <v>38</v>
      </c>
      <c r="C1022" s="12" t="s">
        <v>38</v>
      </c>
      <c r="D1022" s="13" t="s">
        <v>2312</v>
      </c>
      <c r="E1022" s="11"/>
      <c r="F1022" s="12"/>
      <c r="G1022" s="13" t="str">
        <f>"9781496347763"</f>
        <v>9781496347763</v>
      </c>
      <c r="H1022" s="13" t="s">
        <v>2124</v>
      </c>
      <c r="I1022" s="11" t="s">
        <v>2796</v>
      </c>
      <c r="J1022" s="11"/>
      <c r="K1022" s="11"/>
      <c r="L1022" s="11"/>
      <c r="M1022" s="13" t="s">
        <v>2293</v>
      </c>
      <c r="N1022" s="12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3" t="s">
        <v>2766</v>
      </c>
      <c r="AB1022" s="13" t="s">
        <v>2759</v>
      </c>
      <c r="AC1022" s="13" t="s">
        <v>2328</v>
      </c>
      <c r="AD1022" s="13" t="s">
        <v>1059</v>
      </c>
      <c r="AE1022" s="12"/>
      <c r="AF1022" s="12"/>
      <c r="AG1022" s="12"/>
      <c r="AH1022" s="12"/>
      <c r="AI1022" s="12"/>
      <c r="AJ1022" s="12"/>
      <c r="AK1022" s="12"/>
      <c r="AL1022" s="12"/>
      <c r="AM1022" s="12"/>
      <c r="AN1022" s="12"/>
    </row>
    <row r="1023" spans="1:40" ht="20.100000000000001" customHeight="1">
      <c r="A1023" s="11">
        <v>1022</v>
      </c>
      <c r="B1023" s="12" t="s">
        <v>38</v>
      </c>
      <c r="C1023" s="12" t="s">
        <v>38</v>
      </c>
      <c r="D1023" s="13" t="s">
        <v>2312</v>
      </c>
      <c r="E1023" s="11"/>
      <c r="F1023" s="12"/>
      <c r="G1023" s="13" t="str">
        <f>"9781635501797"</f>
        <v>9781635501797</v>
      </c>
      <c r="H1023" s="13" t="s">
        <v>2125</v>
      </c>
      <c r="I1023" s="11" t="s">
        <v>2796</v>
      </c>
      <c r="J1023" s="11"/>
      <c r="K1023" s="11"/>
      <c r="L1023" s="11"/>
      <c r="M1023" s="13" t="s">
        <v>2218</v>
      </c>
      <c r="N1023" s="12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3" t="s">
        <v>2766</v>
      </c>
      <c r="AB1023" s="13" t="s">
        <v>2760</v>
      </c>
      <c r="AC1023" s="13" t="s">
        <v>2328</v>
      </c>
      <c r="AD1023" s="13" t="s">
        <v>1060</v>
      </c>
      <c r="AE1023" s="12"/>
      <c r="AF1023" s="12"/>
      <c r="AG1023" s="12"/>
      <c r="AH1023" s="12"/>
      <c r="AI1023" s="12"/>
      <c r="AJ1023" s="12"/>
      <c r="AK1023" s="12"/>
      <c r="AL1023" s="12"/>
      <c r="AM1023" s="12"/>
      <c r="AN1023" s="12"/>
    </row>
    <row r="1024" spans="1:40" ht="20.100000000000001" customHeight="1">
      <c r="A1024" s="11">
        <v>1023</v>
      </c>
      <c r="B1024" s="12" t="s">
        <v>38</v>
      </c>
      <c r="C1024" s="12" t="s">
        <v>38</v>
      </c>
      <c r="D1024" s="13" t="s">
        <v>2312</v>
      </c>
      <c r="E1024" s="11"/>
      <c r="F1024" s="12"/>
      <c r="G1024" s="13" t="str">
        <f>"9789004506725"</f>
        <v>9789004506725</v>
      </c>
      <c r="H1024" s="13" t="s">
        <v>2126</v>
      </c>
      <c r="I1024" s="11" t="s">
        <v>2797</v>
      </c>
      <c r="J1024" s="11"/>
      <c r="K1024" s="11"/>
      <c r="L1024" s="11"/>
      <c r="M1024" s="13" t="s">
        <v>2184</v>
      </c>
      <c r="N1024" s="12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3" t="s">
        <v>2766</v>
      </c>
      <c r="AB1024" s="13">
        <v>306.76029999999997</v>
      </c>
      <c r="AC1024" s="13" t="s">
        <v>2318</v>
      </c>
      <c r="AD1024" s="13" t="s">
        <v>1061</v>
      </c>
      <c r="AE1024" s="12"/>
      <c r="AF1024" s="12"/>
      <c r="AG1024" s="12"/>
      <c r="AH1024" s="12"/>
      <c r="AI1024" s="12"/>
      <c r="AJ1024" s="12"/>
      <c r="AK1024" s="12"/>
      <c r="AL1024" s="12"/>
      <c r="AM1024" s="12"/>
      <c r="AN1024" s="12"/>
    </row>
    <row r="1025" spans="1:40" ht="20.100000000000001" customHeight="1">
      <c r="A1025" s="11">
        <v>1024</v>
      </c>
      <c r="B1025" s="12" t="s">
        <v>38</v>
      </c>
      <c r="C1025" s="12" t="s">
        <v>38</v>
      </c>
      <c r="D1025" s="13" t="s">
        <v>2312</v>
      </c>
      <c r="E1025" s="11"/>
      <c r="F1025" s="12"/>
      <c r="G1025" s="13" t="str">
        <f>"9781637000649"</f>
        <v>9781637000649</v>
      </c>
      <c r="H1025" s="13" t="s">
        <v>2127</v>
      </c>
      <c r="I1025" s="11" t="s">
        <v>2797</v>
      </c>
      <c r="J1025" s="11"/>
      <c r="K1025" s="11"/>
      <c r="L1025" s="11"/>
      <c r="M1025" s="13" t="s">
        <v>2231</v>
      </c>
      <c r="N1025" s="12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3" t="s">
        <v>2766</v>
      </c>
      <c r="AB1025" s="13">
        <v>613.20000000000005</v>
      </c>
      <c r="AC1025" s="13" t="s">
        <v>2408</v>
      </c>
      <c r="AD1025" s="13" t="s">
        <v>1062</v>
      </c>
      <c r="AE1025" s="12"/>
      <c r="AF1025" s="12"/>
      <c r="AG1025" s="12"/>
      <c r="AH1025" s="12"/>
      <c r="AI1025" s="12"/>
      <c r="AJ1025" s="12"/>
      <c r="AK1025" s="12"/>
      <c r="AL1025" s="12"/>
      <c r="AM1025" s="12"/>
      <c r="AN1025" s="12"/>
    </row>
    <row r="1026" spans="1:40" ht="20.100000000000001" customHeight="1">
      <c r="A1026" s="11">
        <v>1025</v>
      </c>
      <c r="B1026" s="12" t="s">
        <v>38</v>
      </c>
      <c r="C1026" s="12" t="s">
        <v>38</v>
      </c>
      <c r="D1026" s="13" t="s">
        <v>2312</v>
      </c>
      <c r="E1026" s="11"/>
      <c r="F1026" s="12"/>
      <c r="G1026" s="13" t="str">
        <f>"9789814951784"</f>
        <v>9789814951784</v>
      </c>
      <c r="H1026" s="13" t="s">
        <v>2128</v>
      </c>
      <c r="I1026" s="11" t="s">
        <v>2798</v>
      </c>
      <c r="J1026" s="11"/>
      <c r="K1026" s="11"/>
      <c r="L1026" s="11"/>
      <c r="M1026" s="13" t="s">
        <v>2298</v>
      </c>
      <c r="N1026" s="12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3" t="s">
        <v>2766</v>
      </c>
      <c r="AB1026" s="13"/>
      <c r="AC1026" s="13" t="s">
        <v>2317</v>
      </c>
      <c r="AD1026" s="13" t="s">
        <v>1063</v>
      </c>
      <c r="AE1026" s="12"/>
      <c r="AF1026" s="12"/>
      <c r="AG1026" s="12"/>
      <c r="AH1026" s="12"/>
      <c r="AI1026" s="12"/>
      <c r="AJ1026" s="12"/>
      <c r="AK1026" s="12"/>
      <c r="AL1026" s="12"/>
      <c r="AM1026" s="12"/>
      <c r="AN1026" s="12"/>
    </row>
    <row r="1027" spans="1:40" ht="20.100000000000001" customHeight="1">
      <c r="A1027" s="11">
        <v>1026</v>
      </c>
      <c r="B1027" s="12" t="s">
        <v>38</v>
      </c>
      <c r="C1027" s="12" t="s">
        <v>38</v>
      </c>
      <c r="D1027" s="13" t="s">
        <v>2312</v>
      </c>
      <c r="E1027" s="11"/>
      <c r="F1027" s="12"/>
      <c r="G1027" s="13" t="str">
        <f>"9781800410169"</f>
        <v>9781800410169</v>
      </c>
      <c r="H1027" s="13" t="s">
        <v>2129</v>
      </c>
      <c r="I1027" s="11" t="s">
        <v>2798</v>
      </c>
      <c r="J1027" s="11"/>
      <c r="K1027" s="11"/>
      <c r="L1027" s="11"/>
      <c r="M1027" s="13" t="s">
        <v>2254</v>
      </c>
      <c r="N1027" s="12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3" t="s">
        <v>2766</v>
      </c>
      <c r="AB1027" s="13">
        <v>404.2072</v>
      </c>
      <c r="AC1027" s="13" t="s">
        <v>2345</v>
      </c>
      <c r="AD1027" s="13" t="s">
        <v>1064</v>
      </c>
      <c r="AE1027" s="12"/>
      <c r="AF1027" s="12"/>
      <c r="AG1027" s="12"/>
      <c r="AH1027" s="12"/>
      <c r="AI1027" s="12"/>
      <c r="AJ1027" s="12"/>
      <c r="AK1027" s="12"/>
      <c r="AL1027" s="12"/>
      <c r="AM1027" s="12"/>
      <c r="AN1027" s="12"/>
    </row>
    <row r="1028" spans="1:40" ht="20.100000000000001" customHeight="1">
      <c r="A1028" s="11">
        <v>1027</v>
      </c>
      <c r="B1028" s="12" t="s">
        <v>38</v>
      </c>
      <c r="C1028" s="12" t="s">
        <v>38</v>
      </c>
      <c r="D1028" s="13" t="s">
        <v>2312</v>
      </c>
      <c r="E1028" s="11"/>
      <c r="F1028" s="12"/>
      <c r="G1028" s="13" t="str">
        <f>"9781438092072"</f>
        <v>9781438092072</v>
      </c>
      <c r="H1028" s="13" t="s">
        <v>2130</v>
      </c>
      <c r="I1028" s="11" t="s">
        <v>2786</v>
      </c>
      <c r="J1028" s="11"/>
      <c r="K1028" s="11"/>
      <c r="L1028" s="11"/>
      <c r="M1028" s="13" t="s">
        <v>2299</v>
      </c>
      <c r="N1028" s="12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3" t="s">
        <v>2766</v>
      </c>
      <c r="AB1028" s="13">
        <v>636.80029999999999</v>
      </c>
      <c r="AC1028" s="13" t="s">
        <v>2483</v>
      </c>
      <c r="AD1028" s="13" t="s">
        <v>1065</v>
      </c>
      <c r="AE1028" s="12"/>
      <c r="AF1028" s="12"/>
      <c r="AG1028" s="12"/>
      <c r="AH1028" s="12"/>
      <c r="AI1028" s="12"/>
      <c r="AJ1028" s="12"/>
      <c r="AK1028" s="12"/>
      <c r="AL1028" s="12"/>
      <c r="AM1028" s="12"/>
      <c r="AN1028" s="12"/>
    </row>
    <row r="1029" spans="1:40" ht="20.100000000000001" customHeight="1">
      <c r="A1029" s="11">
        <v>1028</v>
      </c>
      <c r="B1029" s="12" t="s">
        <v>38</v>
      </c>
      <c r="C1029" s="12" t="s">
        <v>38</v>
      </c>
      <c r="D1029" s="13" t="s">
        <v>2312</v>
      </c>
      <c r="E1029" s="11"/>
      <c r="F1029" s="12"/>
      <c r="G1029" s="13" t="str">
        <f>"9781438067926"</f>
        <v>9781438067926</v>
      </c>
      <c r="H1029" s="13" t="s">
        <v>2131</v>
      </c>
      <c r="I1029" s="11" t="s">
        <v>2789</v>
      </c>
      <c r="J1029" s="11"/>
      <c r="K1029" s="11"/>
      <c r="L1029" s="11"/>
      <c r="M1029" s="13" t="s">
        <v>2299</v>
      </c>
      <c r="N1029" s="12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3" t="s">
        <v>2766</v>
      </c>
      <c r="AB1029" s="13" t="s">
        <v>2761</v>
      </c>
      <c r="AC1029" s="13" t="s">
        <v>2483</v>
      </c>
      <c r="AD1029" s="13" t="s">
        <v>1066</v>
      </c>
      <c r="AE1029" s="12"/>
      <c r="AF1029" s="12"/>
      <c r="AG1029" s="12"/>
      <c r="AH1029" s="12"/>
      <c r="AI1029" s="12"/>
      <c r="AJ1029" s="12"/>
      <c r="AK1029" s="12"/>
      <c r="AL1029" s="12"/>
      <c r="AM1029" s="12"/>
      <c r="AN1029" s="12"/>
    </row>
    <row r="1030" spans="1:40" ht="20.100000000000001" customHeight="1">
      <c r="A1030" s="11">
        <v>1029</v>
      </c>
      <c r="B1030" s="12" t="s">
        <v>38</v>
      </c>
      <c r="C1030" s="12" t="s">
        <v>38</v>
      </c>
      <c r="D1030" s="13" t="s">
        <v>2312</v>
      </c>
      <c r="E1030" s="11"/>
      <c r="F1030" s="12"/>
      <c r="G1030" s="13" t="str">
        <f>"9781944883249"</f>
        <v>9781944883249</v>
      </c>
      <c r="H1030" s="13" t="s">
        <v>2132</v>
      </c>
      <c r="I1030" s="11" t="s">
        <v>2790</v>
      </c>
      <c r="J1030" s="11"/>
      <c r="K1030" s="11"/>
      <c r="L1030" s="11"/>
      <c r="M1030" s="13" t="s">
        <v>2218</v>
      </c>
      <c r="N1030" s="12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3" t="s">
        <v>2766</v>
      </c>
      <c r="AB1030" s="13"/>
      <c r="AC1030" s="13" t="s">
        <v>2328</v>
      </c>
      <c r="AD1030" s="13" t="s">
        <v>1067</v>
      </c>
      <c r="AE1030" s="12"/>
      <c r="AF1030" s="12"/>
      <c r="AG1030" s="12"/>
      <c r="AH1030" s="12"/>
      <c r="AI1030" s="12"/>
      <c r="AJ1030" s="12"/>
      <c r="AK1030" s="12"/>
      <c r="AL1030" s="12"/>
      <c r="AM1030" s="12"/>
      <c r="AN1030" s="12"/>
    </row>
    <row r="1031" spans="1:40" ht="20.100000000000001" customHeight="1">
      <c r="A1031" s="11">
        <v>1030</v>
      </c>
      <c r="B1031" s="12" t="s">
        <v>38</v>
      </c>
      <c r="C1031" s="12" t="s">
        <v>38</v>
      </c>
      <c r="D1031" s="13" t="s">
        <v>2312</v>
      </c>
      <c r="E1031" s="11"/>
      <c r="F1031" s="12"/>
      <c r="G1031" s="13" t="str">
        <f>"9781597567282"</f>
        <v>9781597567282</v>
      </c>
      <c r="H1031" s="13" t="s">
        <v>2133</v>
      </c>
      <c r="I1031" s="11" t="s">
        <v>2788</v>
      </c>
      <c r="J1031" s="11"/>
      <c r="K1031" s="11"/>
      <c r="L1031" s="11"/>
      <c r="M1031" s="13" t="s">
        <v>2218</v>
      </c>
      <c r="N1031" s="12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3" t="s">
        <v>2766</v>
      </c>
      <c r="AB1031" s="13" t="s">
        <v>2762</v>
      </c>
      <c r="AC1031" s="13" t="s">
        <v>2328</v>
      </c>
      <c r="AD1031" s="13" t="s">
        <v>1068</v>
      </c>
      <c r="AE1031" s="12"/>
      <c r="AF1031" s="12"/>
      <c r="AG1031" s="12"/>
      <c r="AH1031" s="12"/>
      <c r="AI1031" s="12"/>
      <c r="AJ1031" s="12"/>
      <c r="AK1031" s="12"/>
      <c r="AL1031" s="12"/>
      <c r="AM1031" s="12"/>
      <c r="AN1031" s="12"/>
    </row>
    <row r="1032" spans="1:40" ht="20.100000000000001" customHeight="1">
      <c r="A1032" s="11">
        <v>1031</v>
      </c>
      <c r="B1032" s="12" t="s">
        <v>38</v>
      </c>
      <c r="C1032" s="12" t="s">
        <v>38</v>
      </c>
      <c r="D1032" s="13" t="s">
        <v>2312</v>
      </c>
      <c r="E1032" s="11"/>
      <c r="F1032" s="12"/>
      <c r="G1032" s="13" t="str">
        <f>"9783132421479"</f>
        <v>9783132421479</v>
      </c>
      <c r="H1032" s="13" t="s">
        <v>2134</v>
      </c>
      <c r="I1032" s="11" t="s">
        <v>2798</v>
      </c>
      <c r="J1032" s="11"/>
      <c r="K1032" s="11"/>
      <c r="L1032" s="11"/>
      <c r="M1032" s="13" t="s">
        <v>2272</v>
      </c>
      <c r="N1032" s="12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3" t="s">
        <v>2766</v>
      </c>
      <c r="AB1032" s="13">
        <v>616.99481059000004</v>
      </c>
      <c r="AC1032" s="13" t="s">
        <v>2328</v>
      </c>
      <c r="AD1032" s="13" t="s">
        <v>1069</v>
      </c>
      <c r="AE1032" s="12"/>
      <c r="AF1032" s="12"/>
      <c r="AG1032" s="12"/>
      <c r="AH1032" s="12"/>
      <c r="AI1032" s="12"/>
      <c r="AJ1032" s="12"/>
      <c r="AK1032" s="12"/>
      <c r="AL1032" s="12"/>
      <c r="AM1032" s="12"/>
      <c r="AN1032" s="12"/>
    </row>
    <row r="1033" spans="1:40" ht="20.100000000000001" customHeight="1">
      <c r="A1033" s="11">
        <v>1032</v>
      </c>
      <c r="B1033" s="12" t="s">
        <v>38</v>
      </c>
      <c r="C1033" s="12" t="s">
        <v>38</v>
      </c>
      <c r="D1033" s="13" t="s">
        <v>2312</v>
      </c>
      <c r="E1033" s="11"/>
      <c r="F1033" s="12"/>
      <c r="G1033" s="13" t="str">
        <f>"9781527582545"</f>
        <v>9781527582545</v>
      </c>
      <c r="H1033" s="13" t="s">
        <v>2135</v>
      </c>
      <c r="I1033" s="11" t="s">
        <v>2798</v>
      </c>
      <c r="J1033" s="11"/>
      <c r="K1033" s="11"/>
      <c r="L1033" s="11"/>
      <c r="M1033" s="13" t="s">
        <v>2259</v>
      </c>
      <c r="N1033" s="12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3" t="s">
        <v>2766</v>
      </c>
      <c r="AB1033" s="13">
        <v>491.55824209999997</v>
      </c>
      <c r="AC1033" s="13" t="s">
        <v>2345</v>
      </c>
      <c r="AD1033" s="13" t="s">
        <v>1070</v>
      </c>
      <c r="AE1033" s="12"/>
      <c r="AF1033" s="12"/>
      <c r="AG1033" s="12"/>
      <c r="AH1033" s="12"/>
      <c r="AI1033" s="12"/>
      <c r="AJ1033" s="12"/>
      <c r="AK1033" s="12"/>
      <c r="AL1033" s="12"/>
      <c r="AM1033" s="12"/>
      <c r="AN1033" s="12"/>
    </row>
    <row r="1034" spans="1:40" ht="20.100000000000001" customHeight="1">
      <c r="A1034" s="11">
        <v>1033</v>
      </c>
      <c r="B1034" s="12" t="s">
        <v>38</v>
      </c>
      <c r="C1034" s="12" t="s">
        <v>38</v>
      </c>
      <c r="D1034" s="13" t="s">
        <v>2312</v>
      </c>
      <c r="E1034" s="11"/>
      <c r="F1034" s="12"/>
      <c r="G1034" s="13" t="str">
        <f>"9789004472846"</f>
        <v>9789004472846</v>
      </c>
      <c r="H1034" s="13" t="s">
        <v>2136</v>
      </c>
      <c r="I1034" s="11" t="s">
        <v>2792</v>
      </c>
      <c r="J1034" s="11"/>
      <c r="K1034" s="11"/>
      <c r="L1034" s="11"/>
      <c r="M1034" s="13" t="s">
        <v>2184</v>
      </c>
      <c r="N1034" s="12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3" t="s">
        <v>2766</v>
      </c>
      <c r="AB1034" s="13"/>
      <c r="AC1034" s="13" t="s">
        <v>2354</v>
      </c>
      <c r="AD1034" s="13" t="s">
        <v>1071</v>
      </c>
      <c r="AE1034" s="12"/>
      <c r="AF1034" s="12"/>
      <c r="AG1034" s="12"/>
      <c r="AH1034" s="12"/>
      <c r="AI1034" s="12"/>
      <c r="AJ1034" s="12"/>
      <c r="AK1034" s="12"/>
      <c r="AL1034" s="12"/>
      <c r="AM1034" s="12"/>
      <c r="AN1034" s="12"/>
    </row>
    <row r="1035" spans="1:40" ht="20.100000000000001" customHeight="1">
      <c r="A1035" s="11">
        <v>1034</v>
      </c>
      <c r="B1035" s="12" t="s">
        <v>38</v>
      </c>
      <c r="C1035" s="12" t="s">
        <v>38</v>
      </c>
      <c r="D1035" s="13" t="s">
        <v>2312</v>
      </c>
      <c r="E1035" s="11"/>
      <c r="F1035" s="12"/>
      <c r="G1035" s="13" t="str">
        <f>"9780252053672"</f>
        <v>9780252053672</v>
      </c>
      <c r="H1035" s="13" t="s">
        <v>2137</v>
      </c>
      <c r="I1035" s="11" t="s">
        <v>2798</v>
      </c>
      <c r="J1035" s="11"/>
      <c r="K1035" s="11"/>
      <c r="L1035" s="11"/>
      <c r="M1035" s="13" t="s">
        <v>2240</v>
      </c>
      <c r="N1035" s="12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3" t="s">
        <v>2766</v>
      </c>
      <c r="AB1035" s="13" t="s">
        <v>2763</v>
      </c>
      <c r="AC1035" s="13" t="s">
        <v>2445</v>
      </c>
      <c r="AD1035" s="13" t="s">
        <v>1072</v>
      </c>
      <c r="AE1035" s="12"/>
      <c r="AF1035" s="12"/>
      <c r="AG1035" s="12"/>
      <c r="AH1035" s="12"/>
      <c r="AI1035" s="12"/>
      <c r="AJ1035" s="12"/>
      <c r="AK1035" s="12"/>
      <c r="AL1035" s="12"/>
      <c r="AM1035" s="12"/>
      <c r="AN1035" s="12"/>
    </row>
    <row r="1036" spans="1:40" ht="20.100000000000001" customHeight="1">
      <c r="A1036" s="11">
        <v>1035</v>
      </c>
      <c r="B1036" s="12" t="s">
        <v>38</v>
      </c>
      <c r="C1036" s="12" t="s">
        <v>38</v>
      </c>
      <c r="D1036" s="13" t="s">
        <v>2312</v>
      </c>
      <c r="E1036" s="11"/>
      <c r="F1036" s="12"/>
      <c r="G1036" s="13" t="str">
        <f>"9781802700152"</f>
        <v>9781802700152</v>
      </c>
      <c r="H1036" s="13" t="s">
        <v>2138</v>
      </c>
      <c r="I1036" s="11" t="s">
        <v>2798</v>
      </c>
      <c r="J1036" s="11"/>
      <c r="K1036" s="11"/>
      <c r="L1036" s="11"/>
      <c r="M1036" s="13" t="s">
        <v>2284</v>
      </c>
      <c r="N1036" s="12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3" t="s">
        <v>2766</v>
      </c>
      <c r="AB1036" s="13"/>
      <c r="AC1036" s="13" t="s">
        <v>2496</v>
      </c>
      <c r="AD1036" s="13" t="s">
        <v>1073</v>
      </c>
      <c r="AE1036" s="12"/>
      <c r="AF1036" s="12"/>
      <c r="AG1036" s="12"/>
      <c r="AH1036" s="12"/>
      <c r="AI1036" s="12"/>
      <c r="AJ1036" s="12"/>
      <c r="AK1036" s="12"/>
      <c r="AL1036" s="12"/>
      <c r="AM1036" s="12"/>
      <c r="AN1036" s="12"/>
    </row>
    <row r="1037" spans="1:40" ht="20.100000000000001" customHeight="1">
      <c r="A1037" s="11">
        <v>1036</v>
      </c>
      <c r="B1037" s="12" t="s">
        <v>38</v>
      </c>
      <c r="C1037" s="12" t="s">
        <v>38</v>
      </c>
      <c r="D1037" s="13" t="s">
        <v>2312</v>
      </c>
      <c r="E1037" s="11"/>
      <c r="F1037" s="12"/>
      <c r="G1037" s="13" t="str">
        <f>"9781635503623"</f>
        <v>9781635503623</v>
      </c>
      <c r="H1037" s="13" t="s">
        <v>2139</v>
      </c>
      <c r="I1037" s="11" t="s">
        <v>2799</v>
      </c>
      <c r="J1037" s="11"/>
      <c r="K1037" s="11"/>
      <c r="L1037" s="11"/>
      <c r="M1037" s="13" t="s">
        <v>2218</v>
      </c>
      <c r="N1037" s="12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3" t="s">
        <v>2766</v>
      </c>
      <c r="AB1037" s="13">
        <v>616.85500000000002</v>
      </c>
      <c r="AC1037" s="13" t="s">
        <v>2328</v>
      </c>
      <c r="AD1037" s="13" t="s">
        <v>1074</v>
      </c>
      <c r="AE1037" s="12"/>
      <c r="AF1037" s="12"/>
      <c r="AG1037" s="12"/>
      <c r="AH1037" s="12"/>
      <c r="AI1037" s="12"/>
      <c r="AJ1037" s="12"/>
      <c r="AK1037" s="12"/>
      <c r="AL1037" s="12"/>
      <c r="AM1037" s="12"/>
      <c r="AN1037" s="12"/>
    </row>
    <row r="1038" spans="1:40" ht="20.100000000000001" customHeight="1">
      <c r="A1038" s="11">
        <v>1037</v>
      </c>
      <c r="B1038" s="12" t="s">
        <v>38</v>
      </c>
      <c r="C1038" s="12" t="s">
        <v>38</v>
      </c>
      <c r="D1038" s="13" t="s">
        <v>2312</v>
      </c>
      <c r="E1038" s="11"/>
      <c r="F1038" s="12"/>
      <c r="G1038" s="13" t="str">
        <f>"9781635503784"</f>
        <v>9781635503784</v>
      </c>
      <c r="H1038" s="13" t="s">
        <v>2140</v>
      </c>
      <c r="I1038" s="11" t="s">
        <v>2798</v>
      </c>
      <c r="J1038" s="11"/>
      <c r="K1038" s="11"/>
      <c r="L1038" s="11"/>
      <c r="M1038" s="13" t="s">
        <v>2218</v>
      </c>
      <c r="N1038" s="12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3" t="s">
        <v>2766</v>
      </c>
      <c r="AB1038" s="13" t="s">
        <v>2764</v>
      </c>
      <c r="AC1038" s="13" t="s">
        <v>2497</v>
      </c>
      <c r="AD1038" s="13" t="s">
        <v>1075</v>
      </c>
      <c r="AE1038" s="12"/>
      <c r="AF1038" s="12"/>
      <c r="AG1038" s="12"/>
      <c r="AH1038" s="12"/>
      <c r="AI1038" s="12"/>
      <c r="AJ1038" s="12"/>
      <c r="AK1038" s="12"/>
      <c r="AL1038" s="12"/>
      <c r="AM1038" s="12"/>
      <c r="AN1038" s="12"/>
    </row>
    <row r="1039" spans="1:40" ht="20.100000000000001" customHeight="1">
      <c r="A1039" s="11">
        <v>1038</v>
      </c>
      <c r="B1039" s="12" t="s">
        <v>38</v>
      </c>
      <c r="C1039" s="12" t="s">
        <v>38</v>
      </c>
      <c r="D1039" s="13" t="s">
        <v>2312</v>
      </c>
      <c r="E1039" s="11"/>
      <c r="F1039" s="12"/>
      <c r="G1039" s="13" t="str">
        <f>"9781625849861"</f>
        <v>9781625849861</v>
      </c>
      <c r="H1039" s="13" t="s">
        <v>2141</v>
      </c>
      <c r="I1039" s="11" t="s">
        <v>2788</v>
      </c>
      <c r="J1039" s="11"/>
      <c r="K1039" s="11"/>
      <c r="L1039" s="11"/>
      <c r="M1039" s="13" t="s">
        <v>2300</v>
      </c>
      <c r="N1039" s="12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3" t="s">
        <v>2766</v>
      </c>
      <c r="AB1039" s="13">
        <v>976.40030000000002</v>
      </c>
      <c r="AC1039" s="13" t="s">
        <v>2317</v>
      </c>
      <c r="AD1039" s="13" t="s">
        <v>1076</v>
      </c>
      <c r="AE1039" s="12"/>
      <c r="AF1039" s="12"/>
      <c r="AG1039" s="12"/>
      <c r="AH1039" s="12"/>
      <c r="AI1039" s="12"/>
      <c r="AJ1039" s="12"/>
      <c r="AK1039" s="12"/>
      <c r="AL1039" s="12"/>
      <c r="AM1039" s="12"/>
      <c r="AN1039" s="12"/>
    </row>
    <row r="1040" spans="1:40" ht="20.100000000000001" customHeight="1">
      <c r="A1040" s="11">
        <v>1039</v>
      </c>
      <c r="B1040" s="12" t="s">
        <v>38</v>
      </c>
      <c r="C1040" s="12" t="s">
        <v>38</v>
      </c>
      <c r="D1040" s="13" t="s">
        <v>2312</v>
      </c>
      <c r="E1040" s="11"/>
      <c r="F1040" s="12"/>
      <c r="G1040" s="13" t="str">
        <f>"9781953946355"</f>
        <v>9781953946355</v>
      </c>
      <c r="H1040" s="13" t="s">
        <v>2142</v>
      </c>
      <c r="I1040" s="11" t="s">
        <v>2798</v>
      </c>
      <c r="J1040" s="11"/>
      <c r="K1040" s="11"/>
      <c r="L1040" s="11"/>
      <c r="M1040" s="13" t="s">
        <v>2301</v>
      </c>
      <c r="N1040" s="12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3" t="s">
        <v>2766</v>
      </c>
      <c r="AB1040" s="13">
        <v>658.31240000000003</v>
      </c>
      <c r="AC1040" s="13" t="s">
        <v>2314</v>
      </c>
      <c r="AD1040" s="13" t="s">
        <v>1077</v>
      </c>
      <c r="AE1040" s="12"/>
      <c r="AF1040" s="12"/>
      <c r="AG1040" s="12"/>
      <c r="AH1040" s="12"/>
      <c r="AI1040" s="12"/>
      <c r="AJ1040" s="12"/>
      <c r="AK1040" s="12"/>
      <c r="AL1040" s="12"/>
      <c r="AM1040" s="12"/>
      <c r="AN1040" s="12"/>
    </row>
    <row r="1041" spans="1:40" ht="20.100000000000001" customHeight="1">
      <c r="A1041" s="11">
        <v>1040</v>
      </c>
      <c r="B1041" s="12" t="s">
        <v>38</v>
      </c>
      <c r="C1041" s="12" t="s">
        <v>38</v>
      </c>
      <c r="D1041" s="13" t="s">
        <v>2312</v>
      </c>
      <c r="E1041" s="11"/>
      <c r="F1041" s="12"/>
      <c r="G1041" s="13" t="str">
        <f>"9780857195968"</f>
        <v>9780857195968</v>
      </c>
      <c r="H1041" s="13" t="s">
        <v>2143</v>
      </c>
      <c r="I1041" s="11" t="s">
        <v>2792</v>
      </c>
      <c r="J1041" s="11"/>
      <c r="K1041" s="11"/>
      <c r="L1041" s="11"/>
      <c r="M1041" s="13" t="s">
        <v>2302</v>
      </c>
      <c r="N1041" s="12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3" t="s">
        <v>2766</v>
      </c>
      <c r="AB1041" s="13">
        <v>332.678</v>
      </c>
      <c r="AC1041" s="13" t="s">
        <v>2419</v>
      </c>
      <c r="AD1041" s="13" t="s">
        <v>1078</v>
      </c>
      <c r="AE1041" s="12"/>
      <c r="AF1041" s="12"/>
      <c r="AG1041" s="12"/>
      <c r="AH1041" s="12"/>
      <c r="AI1041" s="12"/>
      <c r="AJ1041" s="12"/>
      <c r="AK1041" s="12"/>
      <c r="AL1041" s="12"/>
      <c r="AM1041" s="12"/>
      <c r="AN1041" s="12"/>
    </row>
    <row r="1042" spans="1:40" ht="20.100000000000001" customHeight="1">
      <c r="A1042" s="11">
        <v>1041</v>
      </c>
      <c r="B1042" s="12" t="s">
        <v>38</v>
      </c>
      <c r="C1042" s="12" t="s">
        <v>38</v>
      </c>
      <c r="D1042" s="13" t="s">
        <v>2312</v>
      </c>
      <c r="E1042" s="11"/>
      <c r="F1042" s="12"/>
      <c r="G1042" s="13" t="str">
        <f>"9783792991206"</f>
        <v>9783792991206</v>
      </c>
      <c r="H1042" s="13" t="s">
        <v>2144</v>
      </c>
      <c r="I1042" s="11" t="s">
        <v>2800</v>
      </c>
      <c r="J1042" s="11"/>
      <c r="K1042" s="11"/>
      <c r="L1042" s="11"/>
      <c r="M1042" s="13" t="s">
        <v>2303</v>
      </c>
      <c r="N1042" s="12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3" t="s">
        <v>2766</v>
      </c>
      <c r="AB1042" s="13">
        <v>384</v>
      </c>
      <c r="AC1042" s="13" t="s">
        <v>2456</v>
      </c>
      <c r="AD1042" s="13" t="s">
        <v>1079</v>
      </c>
      <c r="AE1042" s="12"/>
      <c r="AF1042" s="12"/>
      <c r="AG1042" s="12"/>
      <c r="AH1042" s="12"/>
      <c r="AI1042" s="12"/>
      <c r="AJ1042" s="12"/>
      <c r="AK1042" s="12"/>
      <c r="AL1042" s="12"/>
      <c r="AM1042" s="12"/>
      <c r="AN1042" s="12"/>
    </row>
    <row r="1043" spans="1:40" ht="20.100000000000001" customHeight="1">
      <c r="A1043" s="11">
        <v>1042</v>
      </c>
      <c r="B1043" s="12" t="s">
        <v>38</v>
      </c>
      <c r="C1043" s="12" t="s">
        <v>38</v>
      </c>
      <c r="D1043" s="13" t="s">
        <v>2312</v>
      </c>
      <c r="E1043" s="11"/>
      <c r="F1043" s="12"/>
      <c r="G1043" s="13" t="str">
        <f>"9789004510241"</f>
        <v>9789004510241</v>
      </c>
      <c r="H1043" s="13" t="s">
        <v>2145</v>
      </c>
      <c r="I1043" s="11" t="s">
        <v>2798</v>
      </c>
      <c r="J1043" s="11"/>
      <c r="K1043" s="11"/>
      <c r="L1043" s="11"/>
      <c r="M1043" s="13" t="s">
        <v>2184</v>
      </c>
      <c r="N1043" s="12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3" t="s">
        <v>2766</v>
      </c>
      <c r="AB1043" s="13">
        <v>492.77095564000001</v>
      </c>
      <c r="AC1043" s="13" t="s">
        <v>2345</v>
      </c>
      <c r="AD1043" s="13" t="s">
        <v>1080</v>
      </c>
      <c r="AE1043" s="12"/>
      <c r="AF1043" s="12"/>
      <c r="AG1043" s="12"/>
      <c r="AH1043" s="12"/>
      <c r="AI1043" s="12"/>
      <c r="AJ1043" s="12"/>
      <c r="AK1043" s="12"/>
      <c r="AL1043" s="12"/>
      <c r="AM1043" s="12"/>
      <c r="AN1043" s="12"/>
    </row>
    <row r="1044" spans="1:40" ht="20.100000000000001" customHeight="1">
      <c r="A1044" s="11">
        <v>1043</v>
      </c>
      <c r="B1044" s="12" t="s">
        <v>38</v>
      </c>
      <c r="C1044" s="12" t="s">
        <v>38</v>
      </c>
      <c r="D1044" s="13" t="s">
        <v>2312</v>
      </c>
      <c r="E1044" s="11"/>
      <c r="F1044" s="12"/>
      <c r="G1044" s="13" t="str">
        <f>"9789004516427"</f>
        <v>9789004516427</v>
      </c>
      <c r="H1044" s="13" t="s">
        <v>2146</v>
      </c>
      <c r="I1044" s="11" t="s">
        <v>2798</v>
      </c>
      <c r="J1044" s="11"/>
      <c r="K1044" s="11"/>
      <c r="L1044" s="11"/>
      <c r="M1044" s="13" t="s">
        <v>2184</v>
      </c>
      <c r="N1044" s="12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3" t="s">
        <v>2766</v>
      </c>
      <c r="AB1044" s="13">
        <v>494.33</v>
      </c>
      <c r="AC1044" s="13" t="s">
        <v>2345</v>
      </c>
      <c r="AD1044" s="13" t="s">
        <v>1081</v>
      </c>
      <c r="AE1044" s="12"/>
      <c r="AF1044" s="12"/>
      <c r="AG1044" s="12"/>
      <c r="AH1044" s="12"/>
      <c r="AI1044" s="12"/>
      <c r="AJ1044" s="12"/>
      <c r="AK1044" s="12"/>
      <c r="AL1044" s="12"/>
      <c r="AM1044" s="12"/>
      <c r="AN1044" s="12"/>
    </row>
    <row r="1045" spans="1:40" ht="20.100000000000001" customHeight="1">
      <c r="A1045" s="11">
        <v>1044</v>
      </c>
      <c r="B1045" s="12" t="s">
        <v>38</v>
      </c>
      <c r="C1045" s="12" t="s">
        <v>38</v>
      </c>
      <c r="D1045" s="13" t="s">
        <v>2312</v>
      </c>
      <c r="E1045" s="11"/>
      <c r="F1045" s="12"/>
      <c r="G1045" s="13" t="str">
        <f>"9789004388390"</f>
        <v>9789004388390</v>
      </c>
      <c r="H1045" s="13" t="s">
        <v>2147</v>
      </c>
      <c r="I1045" s="11" t="s">
        <v>2798</v>
      </c>
      <c r="J1045" s="11"/>
      <c r="K1045" s="11"/>
      <c r="L1045" s="11"/>
      <c r="M1045" s="13" t="s">
        <v>2184</v>
      </c>
      <c r="N1045" s="12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3" t="s">
        <v>2766</v>
      </c>
      <c r="AB1045" s="13">
        <v>230</v>
      </c>
      <c r="AC1045" s="13" t="s">
        <v>2323</v>
      </c>
      <c r="AD1045" s="13" t="s">
        <v>1082</v>
      </c>
      <c r="AE1045" s="12"/>
      <c r="AF1045" s="12"/>
      <c r="AG1045" s="12"/>
      <c r="AH1045" s="12"/>
      <c r="AI1045" s="12"/>
      <c r="AJ1045" s="12"/>
      <c r="AK1045" s="12"/>
      <c r="AL1045" s="12"/>
      <c r="AM1045" s="12"/>
      <c r="AN1045" s="12"/>
    </row>
    <row r="1046" spans="1:40" ht="20.100000000000001" customHeight="1">
      <c r="A1046" s="11">
        <v>1045</v>
      </c>
      <c r="B1046" s="12" t="s">
        <v>38</v>
      </c>
      <c r="C1046" s="12" t="s">
        <v>38</v>
      </c>
      <c r="D1046" s="13" t="s">
        <v>2312</v>
      </c>
      <c r="E1046" s="11"/>
      <c r="F1046" s="12"/>
      <c r="G1046" s="13" t="str">
        <f>"9781922752123"</f>
        <v>9781922752123</v>
      </c>
      <c r="H1046" s="13" t="s">
        <v>2148</v>
      </c>
      <c r="I1046" s="11" t="s">
        <v>2799</v>
      </c>
      <c r="J1046" s="11"/>
      <c r="K1046" s="11"/>
      <c r="L1046" s="11"/>
      <c r="M1046" s="13" t="s">
        <v>2304</v>
      </c>
      <c r="N1046" s="12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3" t="s">
        <v>2766</v>
      </c>
      <c r="AB1046" s="13"/>
      <c r="AC1046" s="13" t="s">
        <v>2498</v>
      </c>
      <c r="AD1046" s="13" t="s">
        <v>1083</v>
      </c>
      <c r="AE1046" s="12"/>
      <c r="AF1046" s="12"/>
      <c r="AG1046" s="12"/>
      <c r="AH1046" s="12"/>
      <c r="AI1046" s="12"/>
      <c r="AJ1046" s="12"/>
      <c r="AK1046" s="12"/>
      <c r="AL1046" s="12"/>
      <c r="AM1046" s="12"/>
      <c r="AN1046" s="12"/>
    </row>
    <row r="1047" spans="1:40" ht="20.100000000000001" customHeight="1">
      <c r="A1047" s="11">
        <v>1046</v>
      </c>
      <c r="B1047" s="12" t="s">
        <v>38</v>
      </c>
      <c r="C1047" s="12" t="s">
        <v>38</v>
      </c>
      <c r="D1047" s="13" t="s">
        <v>2312</v>
      </c>
      <c r="E1047" s="11"/>
      <c r="F1047" s="12"/>
      <c r="G1047" s="13" t="str">
        <f>"9789004532090"</f>
        <v>9789004532090</v>
      </c>
      <c r="H1047" s="13" t="s">
        <v>2149</v>
      </c>
      <c r="I1047" s="11" t="s">
        <v>2798</v>
      </c>
      <c r="J1047" s="11"/>
      <c r="K1047" s="11"/>
      <c r="L1047" s="11"/>
      <c r="M1047" s="13" t="s">
        <v>2184</v>
      </c>
      <c r="N1047" s="12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3" t="s">
        <v>2766</v>
      </c>
      <c r="AB1047" s="13">
        <v>341.45</v>
      </c>
      <c r="AC1047" s="13" t="s">
        <v>2334</v>
      </c>
      <c r="AD1047" s="13" t="s">
        <v>1084</v>
      </c>
      <c r="AE1047" s="12"/>
      <c r="AF1047" s="12"/>
      <c r="AG1047" s="12"/>
      <c r="AH1047" s="12"/>
      <c r="AI1047" s="12"/>
      <c r="AJ1047" s="12"/>
      <c r="AK1047" s="12"/>
      <c r="AL1047" s="12"/>
      <c r="AM1047" s="12"/>
      <c r="AN1047" s="12"/>
    </row>
    <row r="1048" spans="1:40" ht="20.100000000000001" customHeight="1">
      <c r="A1048" s="11">
        <v>1047</v>
      </c>
      <c r="B1048" s="12" t="s">
        <v>38</v>
      </c>
      <c r="C1048" s="12" t="s">
        <v>38</v>
      </c>
      <c r="D1048" s="13" t="s">
        <v>2312</v>
      </c>
      <c r="E1048" s="11"/>
      <c r="F1048" s="12"/>
      <c r="G1048" s="13" t="str">
        <f>"9781040786819"</f>
        <v>9781040786819</v>
      </c>
      <c r="H1048" s="13" t="s">
        <v>2150</v>
      </c>
      <c r="I1048" s="11" t="s">
        <v>2798</v>
      </c>
      <c r="J1048" s="11"/>
      <c r="K1048" s="11"/>
      <c r="L1048" s="11"/>
      <c r="M1048" s="13" t="s">
        <v>2175</v>
      </c>
      <c r="N1048" s="12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3" t="s">
        <v>2766</v>
      </c>
      <c r="AB1048" s="13">
        <v>302.230952</v>
      </c>
      <c r="AC1048" s="13" t="s">
        <v>2330</v>
      </c>
      <c r="AD1048" s="13" t="s">
        <v>1085</v>
      </c>
      <c r="AE1048" s="12"/>
      <c r="AF1048" s="12"/>
      <c r="AG1048" s="12"/>
      <c r="AH1048" s="12"/>
      <c r="AI1048" s="12"/>
      <c r="AJ1048" s="12"/>
      <c r="AK1048" s="12"/>
      <c r="AL1048" s="12"/>
      <c r="AM1048" s="12"/>
      <c r="AN1048" s="12"/>
    </row>
    <row r="1049" spans="1:40" ht="20.100000000000001" customHeight="1">
      <c r="A1049" s="11">
        <v>1048</v>
      </c>
      <c r="B1049" s="12" t="s">
        <v>38</v>
      </c>
      <c r="C1049" s="12" t="s">
        <v>38</v>
      </c>
      <c r="D1049" s="13" t="s">
        <v>2312</v>
      </c>
      <c r="E1049" s="11"/>
      <c r="F1049" s="12"/>
      <c r="G1049" s="13" t="str">
        <f>"9781040788783"</f>
        <v>9781040788783</v>
      </c>
      <c r="H1049" s="13" t="s">
        <v>2151</v>
      </c>
      <c r="I1049" s="11" t="s">
        <v>2798</v>
      </c>
      <c r="J1049" s="11"/>
      <c r="K1049" s="11"/>
      <c r="L1049" s="11"/>
      <c r="M1049" s="13" t="s">
        <v>2175</v>
      </c>
      <c r="N1049" s="12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3" t="s">
        <v>2766</v>
      </c>
      <c r="AB1049" s="13">
        <v>895.60938229999999</v>
      </c>
      <c r="AC1049" s="13" t="s">
        <v>2313</v>
      </c>
      <c r="AD1049" s="13" t="s">
        <v>1086</v>
      </c>
      <c r="AE1049" s="12"/>
      <c r="AF1049" s="12"/>
      <c r="AG1049" s="12"/>
      <c r="AH1049" s="12"/>
      <c r="AI1049" s="12"/>
      <c r="AJ1049" s="12"/>
      <c r="AK1049" s="12"/>
      <c r="AL1049" s="12"/>
      <c r="AM1049" s="12"/>
      <c r="AN1049" s="12"/>
    </row>
    <row r="1050" spans="1:40" ht="20.100000000000001" customHeight="1">
      <c r="A1050" s="11">
        <v>1049</v>
      </c>
      <c r="B1050" s="12" t="s">
        <v>38</v>
      </c>
      <c r="C1050" s="12" t="s">
        <v>38</v>
      </c>
      <c r="D1050" s="13" t="s">
        <v>2312</v>
      </c>
      <c r="E1050" s="11"/>
      <c r="F1050" s="12"/>
      <c r="G1050" s="13" t="str">
        <f>"9789004525191"</f>
        <v>9789004525191</v>
      </c>
      <c r="H1050" s="13" t="s">
        <v>2152</v>
      </c>
      <c r="I1050" s="11" t="s">
        <v>2798</v>
      </c>
      <c r="J1050" s="11"/>
      <c r="K1050" s="11"/>
      <c r="L1050" s="11"/>
      <c r="M1050" s="13" t="s">
        <v>2184</v>
      </c>
      <c r="N1050" s="12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3" t="s">
        <v>2766</v>
      </c>
      <c r="AB1050" s="13">
        <v>494.32</v>
      </c>
      <c r="AC1050" s="13" t="s">
        <v>2345</v>
      </c>
      <c r="AD1050" s="13" t="s">
        <v>1087</v>
      </c>
      <c r="AE1050" s="12"/>
      <c r="AF1050" s="12"/>
      <c r="AG1050" s="12"/>
      <c r="AH1050" s="12"/>
      <c r="AI1050" s="12"/>
      <c r="AJ1050" s="12"/>
      <c r="AK1050" s="12"/>
      <c r="AL1050" s="12"/>
      <c r="AM1050" s="12"/>
      <c r="AN1050" s="12"/>
    </row>
    <row r="1051" spans="1:40" ht="20.100000000000001" customHeight="1">
      <c r="A1051" s="11">
        <v>1050</v>
      </c>
      <c r="B1051" s="12" t="s">
        <v>38</v>
      </c>
      <c r="C1051" s="12" t="s">
        <v>38</v>
      </c>
      <c r="D1051" s="13" t="s">
        <v>2312</v>
      </c>
      <c r="E1051" s="11"/>
      <c r="F1051" s="12"/>
      <c r="G1051" s="13" t="str">
        <f>"9781637003213"</f>
        <v>9781637003213</v>
      </c>
      <c r="H1051" s="13" t="s">
        <v>2153</v>
      </c>
      <c r="I1051" s="11" t="s">
        <v>2798</v>
      </c>
      <c r="J1051" s="11"/>
      <c r="K1051" s="11"/>
      <c r="L1051" s="11"/>
      <c r="M1051" s="13" t="s">
        <v>2270</v>
      </c>
      <c r="N1051" s="12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3" t="s">
        <v>2766</v>
      </c>
      <c r="AB1051" s="13"/>
      <c r="AC1051" s="13" t="s">
        <v>2354</v>
      </c>
      <c r="AD1051" s="13" t="s">
        <v>1088</v>
      </c>
      <c r="AE1051" s="12"/>
      <c r="AF1051" s="12"/>
      <c r="AG1051" s="12"/>
      <c r="AH1051" s="12"/>
      <c r="AI1051" s="12"/>
      <c r="AJ1051" s="12"/>
      <c r="AK1051" s="12"/>
      <c r="AL1051" s="12"/>
      <c r="AM1051" s="12"/>
      <c r="AN1051" s="12"/>
    </row>
    <row r="1052" spans="1:40" ht="20.100000000000001" customHeight="1">
      <c r="A1052" s="11">
        <v>1051</v>
      </c>
      <c r="B1052" s="12" t="s">
        <v>38</v>
      </c>
      <c r="C1052" s="12" t="s">
        <v>38</v>
      </c>
      <c r="D1052" s="13" t="s">
        <v>2312</v>
      </c>
      <c r="E1052" s="11"/>
      <c r="F1052" s="12"/>
      <c r="G1052" s="13" t="str">
        <f>"9781637001592"</f>
        <v>9781637001592</v>
      </c>
      <c r="H1052" s="13" t="s">
        <v>2154</v>
      </c>
      <c r="I1052" s="11" t="s">
        <v>2798</v>
      </c>
      <c r="J1052" s="11"/>
      <c r="K1052" s="11"/>
      <c r="L1052" s="11"/>
      <c r="M1052" s="13" t="s">
        <v>2231</v>
      </c>
      <c r="N1052" s="12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3" t="s">
        <v>2766</v>
      </c>
      <c r="AB1052" s="13"/>
      <c r="AC1052" s="13" t="s">
        <v>2354</v>
      </c>
      <c r="AD1052" s="13" t="s">
        <v>1089</v>
      </c>
      <c r="AE1052" s="12"/>
      <c r="AF1052" s="12"/>
      <c r="AG1052" s="12"/>
      <c r="AH1052" s="12"/>
      <c r="AI1052" s="12"/>
      <c r="AJ1052" s="12"/>
      <c r="AK1052" s="12"/>
      <c r="AL1052" s="12"/>
      <c r="AM1052" s="12"/>
      <c r="AN1052" s="12"/>
    </row>
    <row r="1053" spans="1:40" ht="20.100000000000001" customHeight="1">
      <c r="A1053" s="11">
        <v>1052</v>
      </c>
      <c r="B1053" s="12" t="s">
        <v>38</v>
      </c>
      <c r="C1053" s="12" t="s">
        <v>38</v>
      </c>
      <c r="D1053" s="13" t="s">
        <v>2312</v>
      </c>
      <c r="E1053" s="11"/>
      <c r="F1053" s="12"/>
      <c r="G1053" s="13" t="str">
        <f>"9780813182155"</f>
        <v>9780813182155</v>
      </c>
      <c r="H1053" s="13" t="s">
        <v>2155</v>
      </c>
      <c r="I1053" s="11" t="s">
        <v>2788</v>
      </c>
      <c r="J1053" s="11"/>
      <c r="K1053" s="11"/>
      <c r="L1053" s="11"/>
      <c r="M1053" s="13" t="s">
        <v>2219</v>
      </c>
      <c r="N1053" s="12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3" t="s">
        <v>2766</v>
      </c>
      <c r="AB1053" s="13">
        <v>920.05692999999997</v>
      </c>
      <c r="AC1053" s="13" t="s">
        <v>2317</v>
      </c>
      <c r="AD1053" s="13" t="s">
        <v>1090</v>
      </c>
      <c r="AE1053" s="12"/>
      <c r="AF1053" s="12"/>
      <c r="AG1053" s="12"/>
      <c r="AH1053" s="12"/>
      <c r="AI1053" s="12"/>
      <c r="AJ1053" s="12"/>
      <c r="AK1053" s="12"/>
      <c r="AL1053" s="12"/>
      <c r="AM1053" s="12"/>
      <c r="AN1053" s="12"/>
    </row>
    <row r="1054" spans="1:40" ht="20.100000000000001" customHeight="1">
      <c r="A1054" s="11">
        <v>1053</v>
      </c>
      <c r="B1054" s="12" t="s">
        <v>38</v>
      </c>
      <c r="C1054" s="12" t="s">
        <v>38</v>
      </c>
      <c r="D1054" s="13" t="s">
        <v>2312</v>
      </c>
      <c r="E1054" s="11"/>
      <c r="F1054" s="12"/>
      <c r="G1054" s="13" t="str">
        <f>"9781684352166"</f>
        <v>9781684352166</v>
      </c>
      <c r="H1054" s="13" t="s">
        <v>2156</v>
      </c>
      <c r="I1054" s="11" t="s">
        <v>2800</v>
      </c>
      <c r="J1054" s="11"/>
      <c r="K1054" s="11"/>
      <c r="L1054" s="11"/>
      <c r="M1054" s="13" t="s">
        <v>2305</v>
      </c>
      <c r="N1054" s="12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3" t="s">
        <v>2766</v>
      </c>
      <c r="AB1054" s="13" t="s">
        <v>2765</v>
      </c>
      <c r="AC1054" s="13" t="s">
        <v>2313</v>
      </c>
      <c r="AD1054" s="13" t="s">
        <v>1091</v>
      </c>
      <c r="AE1054" s="12"/>
      <c r="AF1054" s="12"/>
      <c r="AG1054" s="12"/>
      <c r="AH1054" s="12"/>
      <c r="AI1054" s="12"/>
      <c r="AJ1054" s="12"/>
      <c r="AK1054" s="12"/>
      <c r="AL1054" s="12"/>
      <c r="AM1054" s="12"/>
      <c r="AN1054" s="12"/>
    </row>
    <row r="1055" spans="1:40" ht="20.100000000000001" customHeight="1">
      <c r="A1055" s="11">
        <v>1054</v>
      </c>
      <c r="B1055" s="12" t="s">
        <v>38</v>
      </c>
      <c r="C1055" s="12" t="s">
        <v>38</v>
      </c>
      <c r="D1055" s="13" t="s">
        <v>2312</v>
      </c>
      <c r="E1055" s="11"/>
      <c r="F1055" s="12"/>
      <c r="G1055" s="13" t="str">
        <f>"9781961844025"</f>
        <v>9781961844025</v>
      </c>
      <c r="H1055" s="13" t="s">
        <v>2157</v>
      </c>
      <c r="I1055" s="11" t="s">
        <v>2799</v>
      </c>
      <c r="J1055" s="11"/>
      <c r="K1055" s="11"/>
      <c r="L1055" s="11"/>
      <c r="M1055" s="13" t="s">
        <v>2291</v>
      </c>
      <c r="N1055" s="12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3" t="s">
        <v>2766</v>
      </c>
      <c r="AB1055" s="13">
        <v>305.40899999999999</v>
      </c>
      <c r="AC1055" s="13" t="s">
        <v>2318</v>
      </c>
      <c r="AD1055" s="13" t="s">
        <v>1092</v>
      </c>
      <c r="AE1055" s="12"/>
      <c r="AF1055" s="12"/>
      <c r="AG1055" s="12"/>
      <c r="AH1055" s="12"/>
      <c r="AI1055" s="12"/>
      <c r="AJ1055" s="12"/>
      <c r="AK1055" s="12"/>
      <c r="AL1055" s="12"/>
      <c r="AM1055" s="12"/>
      <c r="AN1055" s="12"/>
    </row>
    <row r="1056" spans="1:40" ht="20.100000000000001" customHeight="1">
      <c r="A1056" s="11">
        <v>1055</v>
      </c>
      <c r="B1056" s="12" t="s">
        <v>38</v>
      </c>
      <c r="C1056" s="12" t="s">
        <v>38</v>
      </c>
      <c r="D1056" s="13" t="s">
        <v>2312</v>
      </c>
      <c r="E1056" s="11"/>
      <c r="F1056" s="12"/>
      <c r="G1056" s="13" t="str">
        <f>"9783036413587"</f>
        <v>9783036413587</v>
      </c>
      <c r="H1056" s="13" t="s">
        <v>2158</v>
      </c>
      <c r="I1056" s="11" t="s">
        <v>2799</v>
      </c>
      <c r="J1056" s="11"/>
      <c r="K1056" s="11"/>
      <c r="L1056" s="11"/>
      <c r="M1056" s="13" t="s">
        <v>2306</v>
      </c>
      <c r="N1056" s="12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3" t="s">
        <v>2766</v>
      </c>
      <c r="AB1056" s="13">
        <v>669.94</v>
      </c>
      <c r="AC1056" s="13" t="s">
        <v>2499</v>
      </c>
      <c r="AD1056" s="13" t="s">
        <v>1093</v>
      </c>
      <c r="AE1056" s="12"/>
      <c r="AF1056" s="12"/>
      <c r="AG1056" s="12"/>
      <c r="AH1056" s="12"/>
      <c r="AI1056" s="12"/>
      <c r="AJ1056" s="12"/>
      <c r="AK1056" s="12"/>
      <c r="AL1056" s="12"/>
      <c r="AM1056" s="12"/>
      <c r="AN1056" s="12"/>
    </row>
    <row r="1057" spans="1:40" ht="20.100000000000001" customHeight="1">
      <c r="A1057" s="11">
        <v>1056</v>
      </c>
      <c r="B1057" s="12" t="s">
        <v>38</v>
      </c>
      <c r="C1057" s="12" t="s">
        <v>38</v>
      </c>
      <c r="D1057" s="13" t="s">
        <v>2312</v>
      </c>
      <c r="E1057" s="11"/>
      <c r="F1057" s="12"/>
      <c r="G1057" s="13" t="str">
        <f>"9781920382353"</f>
        <v>9781920382353</v>
      </c>
      <c r="H1057" s="13" t="s">
        <v>2159</v>
      </c>
      <c r="I1057" s="11" t="s">
        <v>2788</v>
      </c>
      <c r="J1057" s="11"/>
      <c r="K1057" s="11"/>
      <c r="L1057" s="11"/>
      <c r="M1057" s="13" t="s">
        <v>2307</v>
      </c>
      <c r="N1057" s="12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3" t="s">
        <v>2766</v>
      </c>
      <c r="AB1057" s="13"/>
      <c r="AC1057" s="13" t="s">
        <v>2378</v>
      </c>
      <c r="AD1057" s="13" t="s">
        <v>1094</v>
      </c>
      <c r="AE1057" s="12"/>
      <c r="AF1057" s="12"/>
      <c r="AG1057" s="12"/>
      <c r="AH1057" s="12"/>
      <c r="AI1057" s="12"/>
      <c r="AJ1057" s="12"/>
      <c r="AK1057" s="12"/>
      <c r="AL1057" s="12"/>
      <c r="AM1057" s="12"/>
      <c r="AN1057" s="12"/>
    </row>
    <row r="1058" spans="1:40" ht="20.100000000000001" customHeight="1">
      <c r="A1058" s="11">
        <v>1057</v>
      </c>
      <c r="B1058" s="12" t="s">
        <v>38</v>
      </c>
      <c r="C1058" s="12" t="s">
        <v>38</v>
      </c>
      <c r="D1058" s="13" t="s">
        <v>2312</v>
      </c>
      <c r="E1058" s="11"/>
      <c r="F1058" s="12"/>
      <c r="G1058" s="13" t="str">
        <f>"9781776402397"</f>
        <v>9781776402397</v>
      </c>
      <c r="H1058" s="13" t="s">
        <v>2160</v>
      </c>
      <c r="I1058" s="11" t="s">
        <v>2798</v>
      </c>
      <c r="J1058" s="11"/>
      <c r="K1058" s="11"/>
      <c r="L1058" s="11"/>
      <c r="M1058" s="13" t="s">
        <v>2308</v>
      </c>
      <c r="N1058" s="12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3" t="s">
        <v>2766</v>
      </c>
      <c r="AB1058" s="13">
        <v>650.072</v>
      </c>
      <c r="AC1058" s="13" t="s">
        <v>2342</v>
      </c>
      <c r="AD1058" s="13" t="s">
        <v>1095</v>
      </c>
      <c r="AE1058" s="12"/>
      <c r="AF1058" s="12"/>
      <c r="AG1058" s="12"/>
      <c r="AH1058" s="12"/>
      <c r="AI1058" s="12"/>
      <c r="AJ1058" s="12"/>
      <c r="AK1058" s="12"/>
      <c r="AL1058" s="12"/>
      <c r="AM1058" s="12"/>
      <c r="AN1058" s="12"/>
    </row>
    <row r="1059" spans="1:40" ht="20.100000000000001" customHeight="1">
      <c r="A1059" s="11">
        <v>1058</v>
      </c>
      <c r="B1059" s="12" t="s">
        <v>38</v>
      </c>
      <c r="C1059" s="12" t="s">
        <v>38</v>
      </c>
      <c r="D1059" s="13" t="s">
        <v>2312</v>
      </c>
      <c r="E1059" s="11"/>
      <c r="F1059" s="12"/>
      <c r="G1059" s="13" t="str">
        <f>"9781637005330"</f>
        <v>9781637005330</v>
      </c>
      <c r="H1059" s="13" t="s">
        <v>2161</v>
      </c>
      <c r="I1059" s="11" t="s">
        <v>2799</v>
      </c>
      <c r="J1059" s="11"/>
      <c r="K1059" s="11"/>
      <c r="L1059" s="11"/>
      <c r="M1059" s="13" t="s">
        <v>2231</v>
      </c>
      <c r="N1059" s="12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3" t="s">
        <v>2766</v>
      </c>
      <c r="AB1059" s="13"/>
      <c r="AC1059" s="13" t="s">
        <v>2317</v>
      </c>
      <c r="AD1059" s="13" t="s">
        <v>1096</v>
      </c>
      <c r="AE1059" s="12"/>
      <c r="AF1059" s="12"/>
      <c r="AG1059" s="12"/>
      <c r="AH1059" s="12"/>
      <c r="AI1059" s="12"/>
      <c r="AJ1059" s="12"/>
      <c r="AK1059" s="12"/>
      <c r="AL1059" s="12"/>
      <c r="AM1059" s="12"/>
      <c r="AN1059" s="12"/>
    </row>
    <row r="1060" spans="1:40" ht="20.100000000000001" customHeight="1">
      <c r="A1060" s="11">
        <v>1059</v>
      </c>
      <c r="B1060" s="12" t="s">
        <v>38</v>
      </c>
      <c r="C1060" s="12" t="s">
        <v>38</v>
      </c>
      <c r="D1060" s="13" t="s">
        <v>2312</v>
      </c>
      <c r="E1060" s="11"/>
      <c r="F1060" s="12"/>
      <c r="G1060" s="13" t="str">
        <f>"9781637006818"</f>
        <v>9781637006818</v>
      </c>
      <c r="H1060" s="13" t="s">
        <v>2162</v>
      </c>
      <c r="I1060" s="11" t="s">
        <v>2799</v>
      </c>
      <c r="J1060" s="11"/>
      <c r="K1060" s="11"/>
      <c r="L1060" s="11"/>
      <c r="M1060" s="13" t="s">
        <v>2270</v>
      </c>
      <c r="N1060" s="12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3" t="s">
        <v>2766</v>
      </c>
      <c r="AB1060" s="13"/>
      <c r="AC1060" s="13" t="s">
        <v>2314</v>
      </c>
      <c r="AD1060" s="13" t="s">
        <v>1097</v>
      </c>
      <c r="AE1060" s="12"/>
      <c r="AF1060" s="12"/>
      <c r="AG1060" s="12"/>
      <c r="AH1060" s="12"/>
      <c r="AI1060" s="12"/>
      <c r="AJ1060" s="12"/>
      <c r="AK1060" s="12"/>
      <c r="AL1060" s="12"/>
      <c r="AM1060" s="12"/>
      <c r="AN1060" s="12"/>
    </row>
    <row r="1061" spans="1:40" ht="20.100000000000001" customHeight="1">
      <c r="A1061" s="11">
        <v>1060</v>
      </c>
      <c r="B1061" s="12" t="s">
        <v>38</v>
      </c>
      <c r="C1061" s="12" t="s">
        <v>38</v>
      </c>
      <c r="D1061" s="13" t="s">
        <v>2312</v>
      </c>
      <c r="E1061" s="11"/>
      <c r="F1061" s="12"/>
      <c r="G1061" s="13" t="str">
        <f>"9781468605914"</f>
        <v>9781468605914</v>
      </c>
      <c r="H1061" s="13" t="s">
        <v>2163</v>
      </c>
      <c r="I1061" s="11" t="s">
        <v>2799</v>
      </c>
      <c r="J1061" s="11"/>
      <c r="K1061" s="11"/>
      <c r="L1061" s="11"/>
      <c r="M1061" s="13" t="s">
        <v>2309</v>
      </c>
      <c r="N1061" s="12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3" t="s">
        <v>2766</v>
      </c>
      <c r="AB1061" s="13"/>
      <c r="AC1061" s="13" t="s">
        <v>2500</v>
      </c>
      <c r="AD1061" s="13" t="s">
        <v>1098</v>
      </c>
      <c r="AE1061" s="12"/>
      <c r="AF1061" s="12"/>
      <c r="AG1061" s="12"/>
      <c r="AH1061" s="12"/>
      <c r="AI1061" s="12"/>
      <c r="AJ1061" s="12"/>
      <c r="AK1061" s="12"/>
      <c r="AL1061" s="12"/>
      <c r="AM1061" s="12"/>
      <c r="AN1061" s="12"/>
    </row>
    <row r="1062" spans="1:40" ht="20.100000000000001" customHeight="1">
      <c r="A1062" s="11">
        <v>1061</v>
      </c>
      <c r="B1062" s="12" t="s">
        <v>38</v>
      </c>
      <c r="C1062" s="12" t="s">
        <v>38</v>
      </c>
      <c r="D1062" s="13" t="s">
        <v>2312</v>
      </c>
      <c r="E1062" s="11"/>
      <c r="F1062" s="12"/>
      <c r="G1062" s="13" t="str">
        <f>"9781635504392"</f>
        <v>9781635504392</v>
      </c>
      <c r="H1062" s="13" t="s">
        <v>2164</v>
      </c>
      <c r="I1062" s="11" t="s">
        <v>2799</v>
      </c>
      <c r="J1062" s="11"/>
      <c r="K1062" s="11"/>
      <c r="L1062" s="11"/>
      <c r="M1062" s="13" t="s">
        <v>2218</v>
      </c>
      <c r="N1062" s="12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3" t="s">
        <v>2766</v>
      </c>
      <c r="AB1062" s="13">
        <v>612.85</v>
      </c>
      <c r="AC1062" s="13" t="s">
        <v>2468</v>
      </c>
      <c r="AD1062" s="13" t="s">
        <v>1099</v>
      </c>
      <c r="AE1062" s="12"/>
      <c r="AF1062" s="12"/>
      <c r="AG1062" s="12"/>
      <c r="AH1062" s="12"/>
      <c r="AI1062" s="12"/>
      <c r="AJ1062" s="12"/>
      <c r="AK1062" s="12"/>
      <c r="AL1062" s="12"/>
      <c r="AM1062" s="12"/>
      <c r="AN1062" s="12"/>
    </row>
    <row r="1063" spans="1:40" ht="20.100000000000001" customHeight="1">
      <c r="A1063" s="11">
        <v>1062</v>
      </c>
      <c r="B1063" s="12" t="s">
        <v>38</v>
      </c>
      <c r="C1063" s="12" t="s">
        <v>38</v>
      </c>
      <c r="D1063" s="13" t="s">
        <v>2312</v>
      </c>
      <c r="E1063" s="11"/>
      <c r="F1063" s="12"/>
      <c r="G1063" s="13" t="str">
        <f>"9781527544161"</f>
        <v>9781527544161</v>
      </c>
      <c r="H1063" s="13" t="s">
        <v>2165</v>
      </c>
      <c r="I1063" s="11" t="s">
        <v>2799</v>
      </c>
      <c r="J1063" s="11"/>
      <c r="K1063" s="11"/>
      <c r="L1063" s="11"/>
      <c r="M1063" s="13" t="s">
        <v>2259</v>
      </c>
      <c r="N1063" s="12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3" t="s">
        <v>2766</v>
      </c>
      <c r="AB1063" s="13">
        <v>418.00709999999998</v>
      </c>
      <c r="AC1063" s="13" t="s">
        <v>2345</v>
      </c>
      <c r="AD1063" s="13" t="s">
        <v>1100</v>
      </c>
      <c r="AE1063" s="12"/>
      <c r="AF1063" s="12"/>
      <c r="AG1063" s="12"/>
      <c r="AH1063" s="12"/>
      <c r="AI1063" s="12"/>
      <c r="AJ1063" s="12"/>
      <c r="AK1063" s="12"/>
      <c r="AL1063" s="12"/>
      <c r="AM1063" s="12"/>
      <c r="AN1063" s="12"/>
    </row>
    <row r="1064" spans="1:40" ht="20.100000000000001" customHeight="1">
      <c r="A1064" s="11">
        <v>1063</v>
      </c>
      <c r="B1064" s="12" t="s">
        <v>38</v>
      </c>
      <c r="C1064" s="12" t="s">
        <v>38</v>
      </c>
      <c r="D1064" s="13" t="s">
        <v>2312</v>
      </c>
      <c r="E1064" s="11"/>
      <c r="F1064" s="12"/>
      <c r="G1064" s="13" t="str">
        <f>"9781040788646"</f>
        <v>9781040788646</v>
      </c>
      <c r="H1064" s="13" t="s">
        <v>2166</v>
      </c>
      <c r="I1064" s="11" t="s">
        <v>2800</v>
      </c>
      <c r="J1064" s="11"/>
      <c r="K1064" s="11"/>
      <c r="L1064" s="11"/>
      <c r="M1064" s="13" t="s">
        <v>2175</v>
      </c>
      <c r="N1064" s="12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3" t="s">
        <v>2766</v>
      </c>
      <c r="AB1064" s="13">
        <v>327.47052000000002</v>
      </c>
      <c r="AC1064" s="13" t="s">
        <v>2393</v>
      </c>
      <c r="AD1064" s="13" t="s">
        <v>1101</v>
      </c>
      <c r="AE1064" s="12"/>
      <c r="AF1064" s="12"/>
      <c r="AG1064" s="12"/>
      <c r="AH1064" s="12"/>
      <c r="AI1064" s="12"/>
      <c r="AJ1064" s="12"/>
      <c r="AK1064" s="12"/>
      <c r="AL1064" s="12"/>
      <c r="AM1064" s="12"/>
      <c r="AN1064" s="12"/>
    </row>
    <row r="1065" spans="1:40" ht="20.100000000000001" customHeight="1">
      <c r="A1065" s="11">
        <v>1064</v>
      </c>
      <c r="B1065" s="12" t="s">
        <v>38</v>
      </c>
      <c r="C1065" s="12" t="s">
        <v>38</v>
      </c>
      <c r="D1065" s="13" t="s">
        <v>2312</v>
      </c>
      <c r="E1065" s="11"/>
      <c r="F1065" s="12"/>
      <c r="G1065" s="13" t="str">
        <f>"9781527517530"</f>
        <v>9781527517530</v>
      </c>
      <c r="H1065" s="13" t="s">
        <v>2167</v>
      </c>
      <c r="I1065" s="11" t="s">
        <v>2799</v>
      </c>
      <c r="J1065" s="11"/>
      <c r="K1065" s="11"/>
      <c r="L1065" s="11"/>
      <c r="M1065" s="13" t="s">
        <v>2259</v>
      </c>
      <c r="N1065" s="12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3" t="s">
        <v>2766</v>
      </c>
      <c r="AB1065" s="13">
        <v>370.19348000000002</v>
      </c>
      <c r="AC1065" s="13" t="s">
        <v>2349</v>
      </c>
      <c r="AD1065" s="13" t="s">
        <v>1102</v>
      </c>
      <c r="AE1065" s="12"/>
      <c r="AF1065" s="12"/>
      <c r="AG1065" s="12"/>
      <c r="AH1065" s="12"/>
      <c r="AI1065" s="12"/>
      <c r="AJ1065" s="12"/>
      <c r="AK1065" s="12"/>
      <c r="AL1065" s="12"/>
      <c r="AM1065" s="12"/>
      <c r="AN1065" s="12"/>
    </row>
    <row r="1066" spans="1:40" ht="20.100000000000001" customHeight="1">
      <c r="A1066" s="11">
        <v>1065</v>
      </c>
      <c r="B1066" s="12" t="s">
        <v>38</v>
      </c>
      <c r="C1066" s="12" t="s">
        <v>38</v>
      </c>
      <c r="D1066" s="13" t="s">
        <v>2312</v>
      </c>
      <c r="E1066" s="11"/>
      <c r="F1066" s="12"/>
      <c r="G1066" s="13" t="str">
        <f>"9781468607895"</f>
        <v>9781468607895</v>
      </c>
      <c r="H1066" s="13" t="s">
        <v>2168</v>
      </c>
      <c r="I1066" s="11" t="s">
        <v>2800</v>
      </c>
      <c r="J1066" s="11"/>
      <c r="K1066" s="11"/>
      <c r="L1066" s="11"/>
      <c r="M1066" s="13" t="s">
        <v>2309</v>
      </c>
      <c r="N1066" s="12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3" t="s">
        <v>2766</v>
      </c>
      <c r="AB1066" s="13"/>
      <c r="AC1066" s="13" t="s">
        <v>2493</v>
      </c>
      <c r="AD1066" s="13" t="s">
        <v>1103</v>
      </c>
      <c r="AE1066" s="12"/>
      <c r="AF1066" s="12"/>
      <c r="AG1066" s="12"/>
      <c r="AH1066" s="12"/>
      <c r="AI1066" s="12"/>
      <c r="AJ1066" s="12"/>
      <c r="AK1066" s="12"/>
      <c r="AL1066" s="12"/>
      <c r="AM1066" s="12"/>
      <c r="AN1066" s="12"/>
    </row>
    <row r="1067" spans="1:40" ht="20.100000000000001" customHeight="1">
      <c r="A1067" s="11">
        <v>1066</v>
      </c>
      <c r="B1067" s="12" t="s">
        <v>38</v>
      </c>
      <c r="C1067" s="12" t="s">
        <v>38</v>
      </c>
      <c r="D1067" s="13" t="s">
        <v>2312</v>
      </c>
      <c r="E1067" s="11"/>
      <c r="F1067" s="12"/>
      <c r="G1067" s="13" t="str">
        <f>"9781802702330"</f>
        <v>9781802702330</v>
      </c>
      <c r="H1067" s="13" t="s">
        <v>2169</v>
      </c>
      <c r="I1067" s="11" t="s">
        <v>2800</v>
      </c>
      <c r="J1067" s="11"/>
      <c r="K1067" s="11"/>
      <c r="L1067" s="11"/>
      <c r="M1067" s="13" t="s">
        <v>2284</v>
      </c>
      <c r="N1067" s="12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3" t="s">
        <v>2766</v>
      </c>
      <c r="AB1067" s="13">
        <v>940.10720000000003</v>
      </c>
      <c r="AC1067" s="13" t="s">
        <v>2317</v>
      </c>
      <c r="AD1067" s="13" t="s">
        <v>1104</v>
      </c>
      <c r="AE1067" s="12"/>
      <c r="AF1067" s="12"/>
      <c r="AG1067" s="12"/>
      <c r="AH1067" s="12"/>
      <c r="AI1067" s="12"/>
      <c r="AJ1067" s="12"/>
      <c r="AK1067" s="12"/>
      <c r="AL1067" s="12"/>
      <c r="AM1067" s="12"/>
      <c r="AN1067" s="12"/>
    </row>
    <row r="1068" spans="1:40" ht="20.100000000000001" customHeight="1">
      <c r="A1068" s="11">
        <v>1067</v>
      </c>
      <c r="B1068" s="12" t="s">
        <v>38</v>
      </c>
      <c r="C1068" s="12" t="s">
        <v>38</v>
      </c>
      <c r="D1068" s="13" t="s">
        <v>2312</v>
      </c>
      <c r="E1068" s="11"/>
      <c r="F1068" s="12"/>
      <c r="G1068" s="13" t="str">
        <f>"9780645975864"</f>
        <v>9780645975864</v>
      </c>
      <c r="H1068" s="13" t="s">
        <v>2170</v>
      </c>
      <c r="I1068" s="11" t="s">
        <v>2795</v>
      </c>
      <c r="J1068" s="11"/>
      <c r="K1068" s="11"/>
      <c r="L1068" s="11"/>
      <c r="M1068" s="13" t="s">
        <v>2310</v>
      </c>
      <c r="N1068" s="12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3" t="s">
        <v>2766</v>
      </c>
      <c r="AB1068" s="13"/>
      <c r="AC1068" s="13" t="s">
        <v>2327</v>
      </c>
      <c r="AD1068" s="13" t="s">
        <v>1105</v>
      </c>
      <c r="AE1068" s="12"/>
      <c r="AF1068" s="12"/>
      <c r="AG1068" s="12"/>
      <c r="AH1068" s="12"/>
      <c r="AI1068" s="12"/>
      <c r="AJ1068" s="12"/>
      <c r="AK1068" s="12"/>
      <c r="AL1068" s="12"/>
      <c r="AM1068" s="12"/>
      <c r="AN1068" s="12"/>
    </row>
    <row r="1069" spans="1:40" ht="20.100000000000001" customHeight="1">
      <c r="A1069" s="11">
        <v>1068</v>
      </c>
      <c r="B1069" s="12" t="s">
        <v>38</v>
      </c>
      <c r="C1069" s="12" t="s">
        <v>38</v>
      </c>
      <c r="D1069" s="13" t="s">
        <v>2312</v>
      </c>
      <c r="E1069" s="11"/>
      <c r="F1069" s="12"/>
      <c r="G1069" s="13" t="str">
        <f>"9781917465014"</f>
        <v>9781917465014</v>
      </c>
      <c r="H1069" s="13" t="s">
        <v>2171</v>
      </c>
      <c r="I1069" s="11" t="s">
        <v>2799</v>
      </c>
      <c r="J1069" s="11"/>
      <c r="K1069" s="11"/>
      <c r="L1069" s="11"/>
      <c r="M1069" s="13" t="s">
        <v>2311</v>
      </c>
      <c r="N1069" s="12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3" t="s">
        <v>2766</v>
      </c>
      <c r="AB1069" s="13"/>
      <c r="AC1069" s="13" t="s">
        <v>2328</v>
      </c>
      <c r="AD1069" s="13" t="s">
        <v>1106</v>
      </c>
      <c r="AE1069" s="12"/>
      <c r="AF1069" s="12"/>
      <c r="AG1069" s="12"/>
      <c r="AH1069" s="12"/>
      <c r="AI1069" s="12"/>
      <c r="AJ1069" s="12"/>
      <c r="AK1069" s="12"/>
      <c r="AL1069" s="12"/>
      <c r="AM1069" s="12"/>
      <c r="AN1069" s="12"/>
    </row>
    <row r="1070" spans="1:40" ht="20.100000000000001" customHeight="1">
      <c r="A1070" s="11">
        <v>1069</v>
      </c>
      <c r="B1070" s="12" t="s">
        <v>38</v>
      </c>
      <c r="C1070" s="12" t="s">
        <v>38</v>
      </c>
      <c r="D1070" s="13" t="s">
        <v>2312</v>
      </c>
      <c r="E1070" s="11"/>
      <c r="F1070" s="12"/>
      <c r="G1070" s="13" t="str">
        <f>"9781636941509"</f>
        <v>9781636941509</v>
      </c>
      <c r="H1070" s="13" t="s">
        <v>2172</v>
      </c>
      <c r="I1070" s="11" t="s">
        <v>2800</v>
      </c>
      <c r="J1070" s="11"/>
      <c r="K1070" s="11"/>
      <c r="L1070" s="11"/>
      <c r="M1070" s="13" t="s">
        <v>2268</v>
      </c>
      <c r="N1070" s="12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3" t="s">
        <v>2766</v>
      </c>
      <c r="AB1070" s="13">
        <v>658.56200000000001</v>
      </c>
      <c r="AC1070" s="13" t="s">
        <v>2314</v>
      </c>
      <c r="AD1070" s="13" t="s">
        <v>1107</v>
      </c>
      <c r="AE1070" s="12"/>
      <c r="AF1070" s="12"/>
      <c r="AG1070" s="12"/>
      <c r="AH1070" s="12"/>
      <c r="AI1070" s="12"/>
      <c r="AJ1070" s="12"/>
      <c r="AK1070" s="12"/>
      <c r="AL1070" s="12"/>
      <c r="AM1070" s="12"/>
      <c r="AN1070" s="12"/>
    </row>
    <row r="1071" spans="1:40" ht="20.100000000000001" customHeight="1">
      <c r="A1071" s="11">
        <v>1070</v>
      </c>
      <c r="B1071" s="12" t="s">
        <v>38</v>
      </c>
      <c r="C1071" s="12" t="s">
        <v>38</v>
      </c>
      <c r="D1071" s="13" t="s">
        <v>2312</v>
      </c>
      <c r="E1071" s="11"/>
      <c r="F1071" s="12"/>
      <c r="G1071" s="13" t="str">
        <f>"9781636941264"</f>
        <v>9781636941264</v>
      </c>
      <c r="H1071" s="13" t="s">
        <v>2173</v>
      </c>
      <c r="I1071" s="11" t="s">
        <v>2799</v>
      </c>
      <c r="J1071" s="11"/>
      <c r="K1071" s="11"/>
      <c r="L1071" s="11"/>
      <c r="M1071" s="13" t="s">
        <v>2268</v>
      </c>
      <c r="N1071" s="12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3" t="s">
        <v>2766</v>
      </c>
      <c r="AB1071" s="13">
        <v>5.3</v>
      </c>
      <c r="AC1071" s="13" t="s">
        <v>2369</v>
      </c>
      <c r="AD1071" s="13" t="s">
        <v>1108</v>
      </c>
      <c r="AE1071" s="12"/>
      <c r="AF1071" s="12"/>
      <c r="AG1071" s="12"/>
      <c r="AH1071" s="12"/>
      <c r="AI1071" s="12"/>
      <c r="AJ1071" s="12"/>
      <c r="AK1071" s="12"/>
      <c r="AL1071" s="12"/>
      <c r="AM1071" s="12"/>
      <c r="AN1071" s="12"/>
    </row>
    <row r="1072" spans="1:40" ht="20.100000000000001" customHeight="1">
      <c r="A1072" s="11">
        <v>1071</v>
      </c>
      <c r="B1072" s="12" t="s">
        <v>38</v>
      </c>
      <c r="C1072" s="12" t="s">
        <v>38</v>
      </c>
      <c r="D1072" s="13" t="s">
        <v>2312</v>
      </c>
      <c r="E1072" s="11"/>
      <c r="F1072" s="12"/>
      <c r="G1072" s="13" t="str">
        <f>"9781917465076"</f>
        <v>9781917465076</v>
      </c>
      <c r="H1072" s="13" t="s">
        <v>2174</v>
      </c>
      <c r="I1072" s="11" t="s">
        <v>2799</v>
      </c>
      <c r="J1072" s="11"/>
      <c r="K1072" s="11"/>
      <c r="L1072" s="11"/>
      <c r="M1072" s="13" t="s">
        <v>2311</v>
      </c>
      <c r="N1072" s="12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3" t="s">
        <v>2766</v>
      </c>
      <c r="AB1072" s="13">
        <v>616.85500000000002</v>
      </c>
      <c r="AC1072" s="13" t="s">
        <v>2328</v>
      </c>
      <c r="AD1072" s="13" t="s">
        <v>1109</v>
      </c>
      <c r="AE1072" s="12"/>
      <c r="AF1072" s="12"/>
      <c r="AG1072" s="12"/>
      <c r="AH1072" s="12"/>
      <c r="AI1072" s="12"/>
      <c r="AJ1072" s="12"/>
      <c r="AK1072" s="12"/>
      <c r="AL1072" s="12"/>
      <c r="AM1072" s="12"/>
      <c r="AN1072" s="12"/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BB396EA0AF1D4098D72D1AFB214350" ma:contentTypeVersion="20" ma:contentTypeDescription="Create a new document." ma:contentTypeScope="" ma:versionID="6f0d5246fdc66cc1ec4a9b548ce904cd">
  <xsd:schema xmlns:xsd="http://www.w3.org/2001/XMLSchema" xmlns:xs="http://www.w3.org/2001/XMLSchema" xmlns:p="http://schemas.microsoft.com/office/2006/metadata/properties" xmlns:ns1="http://schemas.microsoft.com/sharepoint/v3" xmlns:ns2="8744d50d-0a9d-40f7-bc2f-17188a3d0cd6" xmlns:ns3="2ad74153-5ee1-4c44-972a-08d13615613a" targetNamespace="http://schemas.microsoft.com/office/2006/metadata/properties" ma:root="true" ma:fieldsID="a7d5f8a00267166c0fab5d3622841032" ns1:_="" ns2:_="" ns3:_="">
    <xsd:import namespace="http://schemas.microsoft.com/sharepoint/v3"/>
    <xsd:import namespace="8744d50d-0a9d-40f7-bc2f-17188a3d0cd6"/>
    <xsd:import namespace="2ad74153-5ee1-4c44-972a-08d136156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4d50d-0a9d-40f7-bc2f-17188a3d0c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a12c3c9-0c32-41ec-8727-1f7e712bea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74153-5ee1-4c44-972a-08d13615613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1368895-5c70-4e39-af7c-6b59fda3a69e}" ma:internalName="TaxCatchAll" ma:showField="CatchAllData" ma:web="2ad74153-5ee1-4c44-972a-08d136156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44d50d-0a9d-40f7-bc2f-17188a3d0cd6">
      <Terms xmlns="http://schemas.microsoft.com/office/infopath/2007/PartnerControls"/>
    </lcf76f155ced4ddcb4097134ff3c332f>
    <TaxCatchAll xmlns="2ad74153-5ee1-4c44-972a-08d13615613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14C315-1D53-45F1-9E7A-FCC38B5A8E43}"/>
</file>

<file path=customXml/itemProps2.xml><?xml version="1.0" encoding="utf-8"?>
<ds:datastoreItem xmlns:ds="http://schemas.openxmlformats.org/officeDocument/2006/customXml" ds:itemID="{90F6D57A-8D7F-4382-9ECE-9BA09B2130AD}"/>
</file>

<file path=customXml/itemProps3.xml><?xml version="1.0" encoding="utf-8"?>
<ds:datastoreItem xmlns:ds="http://schemas.openxmlformats.org/officeDocument/2006/customXml" ds:itemID="{CA29DAC9-C463-4777-849B-29B6EF18A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Chon</dc:creator>
  <cp:lastModifiedBy>Jung Eun Lee</cp:lastModifiedBy>
  <dcterms:created xsi:type="dcterms:W3CDTF">2021-10-01T04:02:07Z</dcterms:created>
  <dcterms:modified xsi:type="dcterms:W3CDTF">2025-10-23T04:59:33Z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0x010100A6BB396EA0AF1D4098D72D1AFB214350</vt:lpwstr>
  </property>
</Properties>
</file>